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t drev\Kristoffer\Kommunaløkonomi\Serviceramme\"/>
    </mc:Choice>
  </mc:AlternateContent>
  <xr:revisionPtr revIDLastSave="0" documentId="13_ncr:1_{EDD6B702-C899-4D82-B94A-EC72ABF306B7}" xr6:coauthVersionLast="47" xr6:coauthVersionMax="47" xr10:uidLastSave="{00000000-0000-0000-0000-000000000000}"/>
  <bookViews>
    <workbookView xWindow="-120" yWindow="-120" windowWidth="51840" windowHeight="21120" xr2:uid="{79E68A3E-2E97-4B24-981D-996A74FB5749}"/>
  </bookViews>
  <sheets>
    <sheet name="Overunder_2024-2026" sheetId="5" r:id="rId1"/>
    <sheet name="2024" sheetId="1" r:id="rId2"/>
    <sheet name="2025" sheetId="2" r:id="rId3"/>
    <sheet name="2026" sheetId="3" r:id="rId4"/>
    <sheet name="2023-2025" sheetId="4" r:id="rId5"/>
  </sheets>
  <definedNames>
    <definedName name="_xlnm._FilterDatabase" localSheetId="4" hidden="1">'2023-2025'!$D$3:$J$102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2" i="5"/>
  <c r="T5" i="4"/>
  <c r="T6" i="4"/>
  <c r="T7" i="4"/>
  <c r="T8" i="4"/>
  <c r="T9" i="4"/>
  <c r="T10" i="4"/>
  <c r="T11" i="4"/>
  <c r="T12" i="4"/>
  <c r="T13" i="4"/>
  <c r="T14" i="4"/>
  <c r="V14" i="4" s="1"/>
  <c r="X14" i="4" s="1"/>
  <c r="T15" i="4"/>
  <c r="AI15" i="4" s="1"/>
  <c r="T16" i="4"/>
  <c r="T17" i="4"/>
  <c r="T18" i="4"/>
  <c r="T19" i="4"/>
  <c r="AI19" i="4" s="1"/>
  <c r="T20" i="4"/>
  <c r="V20" i="4" s="1"/>
  <c r="T21" i="4"/>
  <c r="AI21" i="4" s="1"/>
  <c r="T22" i="4"/>
  <c r="T23" i="4"/>
  <c r="AI23" i="4" s="1"/>
  <c r="T24" i="4"/>
  <c r="V24" i="4" s="1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AI43" i="4" s="1"/>
  <c r="T44" i="4"/>
  <c r="V44" i="4" s="1"/>
  <c r="T45" i="4"/>
  <c r="V45" i="4" s="1"/>
  <c r="T46" i="4"/>
  <c r="T47" i="4"/>
  <c r="T48" i="4"/>
  <c r="T49" i="4"/>
  <c r="T50" i="4"/>
  <c r="T51" i="4"/>
  <c r="T52" i="4"/>
  <c r="T53" i="4"/>
  <c r="T54" i="4"/>
  <c r="T55" i="4"/>
  <c r="T56" i="4"/>
  <c r="T57" i="4"/>
  <c r="V57" i="4" s="1"/>
  <c r="T58" i="4"/>
  <c r="V58" i="4" s="1"/>
  <c r="T59" i="4"/>
  <c r="T60" i="4"/>
  <c r="T61" i="4"/>
  <c r="T62" i="4"/>
  <c r="T63" i="4"/>
  <c r="AI63" i="4" s="1"/>
  <c r="T64" i="4"/>
  <c r="V64" i="4" s="1"/>
  <c r="T65" i="4"/>
  <c r="AI65" i="4" s="1"/>
  <c r="T66" i="4"/>
  <c r="T67" i="4"/>
  <c r="AI67" i="4" s="1"/>
  <c r="T68" i="4"/>
  <c r="V68" i="4" s="1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AI81" i="4" s="1"/>
  <c r="T82" i="4"/>
  <c r="T83" i="4"/>
  <c r="V83" i="4" s="1"/>
  <c r="T84" i="4"/>
  <c r="T85" i="4"/>
  <c r="T86" i="4"/>
  <c r="T87" i="4"/>
  <c r="AI87" i="4" s="1"/>
  <c r="T88" i="4"/>
  <c r="Y88" i="4" s="1"/>
  <c r="T89" i="4"/>
  <c r="V89" i="4" s="1"/>
  <c r="T90" i="4"/>
  <c r="Y90" i="4" s="1"/>
  <c r="T91" i="4"/>
  <c r="T92" i="4"/>
  <c r="T93" i="4"/>
  <c r="T94" i="4"/>
  <c r="T95" i="4"/>
  <c r="T96" i="4"/>
  <c r="T97" i="4"/>
  <c r="T98" i="4"/>
  <c r="T99" i="4"/>
  <c r="T100" i="4"/>
  <c r="T101" i="4"/>
  <c r="T102" i="4"/>
  <c r="T4" i="4"/>
  <c r="S3" i="3"/>
  <c r="S2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2" i="3"/>
  <c r="Q3" i="3"/>
  <c r="Q4" i="3"/>
  <c r="Q5" i="3"/>
  <c r="Q6" i="3"/>
  <c r="Q7" i="3"/>
  <c r="Q8" i="3"/>
  <c r="Q9" i="3"/>
  <c r="Q10" i="3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2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2" i="5"/>
  <c r="AE102" i="4"/>
  <c r="Y102" i="4"/>
  <c r="M102" i="4"/>
  <c r="J102" i="4"/>
  <c r="K102" i="4" s="1"/>
  <c r="AG101" i="4"/>
  <c r="AE101" i="4"/>
  <c r="J101" i="4"/>
  <c r="K101" i="4" s="1"/>
  <c r="M101" i="4" s="1"/>
  <c r="AE100" i="4"/>
  <c r="V100" i="4"/>
  <c r="J100" i="4"/>
  <c r="K100" i="4" s="1"/>
  <c r="M100" i="4" s="1"/>
  <c r="AI99" i="4"/>
  <c r="AG99" i="4"/>
  <c r="AE99" i="4"/>
  <c r="V99" i="4"/>
  <c r="J99" i="4"/>
  <c r="K99" i="4" s="1"/>
  <c r="M99" i="4" s="1"/>
  <c r="AE98" i="4"/>
  <c r="J98" i="4"/>
  <c r="K98" i="4" s="1"/>
  <c r="M98" i="4" s="1"/>
  <c r="AG97" i="4"/>
  <c r="AE97" i="4"/>
  <c r="J97" i="4"/>
  <c r="K97" i="4" s="1"/>
  <c r="M97" i="4" s="1"/>
  <c r="AE96" i="4"/>
  <c r="J96" i="4"/>
  <c r="K96" i="4" s="1"/>
  <c r="M96" i="4" s="1"/>
  <c r="AG95" i="4"/>
  <c r="AE95" i="4"/>
  <c r="J95" i="4"/>
  <c r="K95" i="4" s="1"/>
  <c r="M95" i="4" s="1"/>
  <c r="AE94" i="4"/>
  <c r="V94" i="4"/>
  <c r="J94" i="4"/>
  <c r="K94" i="4" s="1"/>
  <c r="AG93" i="4"/>
  <c r="AE93" i="4"/>
  <c r="J93" i="4"/>
  <c r="K93" i="4" s="1"/>
  <c r="M93" i="4" s="1"/>
  <c r="AE92" i="4"/>
  <c r="K92" i="4"/>
  <c r="M92" i="4" s="1"/>
  <c r="J92" i="4"/>
  <c r="AG91" i="4"/>
  <c r="AE91" i="4"/>
  <c r="K91" i="4"/>
  <c r="M91" i="4" s="1"/>
  <c r="J91" i="4"/>
  <c r="AE90" i="4"/>
  <c r="K90" i="4"/>
  <c r="M90" i="4" s="1"/>
  <c r="J90" i="4"/>
  <c r="AI89" i="4"/>
  <c r="AG89" i="4"/>
  <c r="AE89" i="4"/>
  <c r="J89" i="4"/>
  <c r="K89" i="4" s="1"/>
  <c r="M89" i="4" s="1"/>
  <c r="AE88" i="4"/>
  <c r="J88" i="4"/>
  <c r="K88" i="4" s="1"/>
  <c r="M88" i="4" s="1"/>
  <c r="AG87" i="4"/>
  <c r="AE87" i="4"/>
  <c r="J87" i="4"/>
  <c r="K87" i="4" s="1"/>
  <c r="M87" i="4" s="1"/>
  <c r="AE86" i="4"/>
  <c r="J86" i="4"/>
  <c r="K86" i="4" s="1"/>
  <c r="M86" i="4" s="1"/>
  <c r="AG85" i="4"/>
  <c r="AE85" i="4"/>
  <c r="V85" i="4"/>
  <c r="X85" i="4" s="1"/>
  <c r="J85" i="4"/>
  <c r="K85" i="4" s="1"/>
  <c r="M85" i="4" s="1"/>
  <c r="AE84" i="4"/>
  <c r="J84" i="4"/>
  <c r="K84" i="4" s="1"/>
  <c r="M84" i="4" s="1"/>
  <c r="AG83" i="4"/>
  <c r="AE83" i="4"/>
  <c r="J83" i="4"/>
  <c r="K83" i="4" s="1"/>
  <c r="M83" i="4" s="1"/>
  <c r="AE82" i="4"/>
  <c r="J82" i="4"/>
  <c r="K82" i="4" s="1"/>
  <c r="M82" i="4" s="1"/>
  <c r="AG81" i="4"/>
  <c r="AE81" i="4"/>
  <c r="K81" i="4"/>
  <c r="M81" i="4" s="1"/>
  <c r="J81" i="4"/>
  <c r="AE80" i="4"/>
  <c r="J80" i="4"/>
  <c r="K80" i="4" s="1"/>
  <c r="M80" i="4" s="1"/>
  <c r="AG79" i="4"/>
  <c r="AE79" i="4"/>
  <c r="Y79" i="4"/>
  <c r="M79" i="4"/>
  <c r="K79" i="4"/>
  <c r="J79" i="4"/>
  <c r="AE78" i="4"/>
  <c r="V78" i="4"/>
  <c r="Y78" i="4"/>
  <c r="K78" i="4"/>
  <c r="M78" i="4" s="1"/>
  <c r="J78" i="4"/>
  <c r="AG77" i="4"/>
  <c r="AE77" i="4"/>
  <c r="AI77" i="4"/>
  <c r="J77" i="4"/>
  <c r="K77" i="4" s="1"/>
  <c r="M77" i="4" s="1"/>
  <c r="AE76" i="4"/>
  <c r="V76" i="4"/>
  <c r="J76" i="4"/>
  <c r="K76" i="4" s="1"/>
  <c r="AG75" i="4"/>
  <c r="AE75" i="4"/>
  <c r="J75" i="4"/>
  <c r="K75" i="4" s="1"/>
  <c r="M75" i="4" s="1"/>
  <c r="AE74" i="4"/>
  <c r="J74" i="4"/>
  <c r="K74" i="4" s="1"/>
  <c r="M74" i="4" s="1"/>
  <c r="AG73" i="4"/>
  <c r="AE73" i="4"/>
  <c r="J73" i="4"/>
  <c r="K73" i="4" s="1"/>
  <c r="M73" i="4" s="1"/>
  <c r="AE72" i="4"/>
  <c r="V72" i="4"/>
  <c r="J72" i="4"/>
  <c r="K72" i="4" s="1"/>
  <c r="M72" i="4" s="1"/>
  <c r="AI71" i="4"/>
  <c r="AG71" i="4"/>
  <c r="AH71" i="4" s="1"/>
  <c r="AE71" i="4"/>
  <c r="V71" i="4"/>
  <c r="J71" i="4"/>
  <c r="K71" i="4" s="1"/>
  <c r="M71" i="4" s="1"/>
  <c r="AE70" i="4"/>
  <c r="J70" i="4"/>
  <c r="K70" i="4" s="1"/>
  <c r="M70" i="4" s="1"/>
  <c r="AG69" i="4"/>
  <c r="AE69" i="4"/>
  <c r="J69" i="4"/>
  <c r="K69" i="4" s="1"/>
  <c r="M69" i="4" s="1"/>
  <c r="AE68" i="4"/>
  <c r="K68" i="4"/>
  <c r="J68" i="4"/>
  <c r="AG67" i="4"/>
  <c r="AE67" i="4"/>
  <c r="J67" i="4"/>
  <c r="K67" i="4" s="1"/>
  <c r="M67" i="4" s="1"/>
  <c r="AE66" i="4"/>
  <c r="V66" i="4"/>
  <c r="X66" i="4" s="1"/>
  <c r="M66" i="4"/>
  <c r="K66" i="4"/>
  <c r="J66" i="4"/>
  <c r="AG65" i="4"/>
  <c r="AE65" i="4"/>
  <c r="J65" i="4"/>
  <c r="K65" i="4" s="1"/>
  <c r="M65" i="4" s="1"/>
  <c r="AE64" i="4"/>
  <c r="J64" i="4"/>
  <c r="K64" i="4" s="1"/>
  <c r="M64" i="4" s="1"/>
  <c r="AG63" i="4"/>
  <c r="AE63" i="4"/>
  <c r="J63" i="4"/>
  <c r="K63" i="4" s="1"/>
  <c r="M63" i="4" s="1"/>
  <c r="AE62" i="4"/>
  <c r="J62" i="4"/>
  <c r="K62" i="4" s="1"/>
  <c r="M62" i="4" s="1"/>
  <c r="AG61" i="4"/>
  <c r="AE61" i="4"/>
  <c r="V61" i="4"/>
  <c r="K61" i="4"/>
  <c r="M61" i="4" s="1"/>
  <c r="J61" i="4"/>
  <c r="AE60" i="4"/>
  <c r="J60" i="4"/>
  <c r="K60" i="4" s="1"/>
  <c r="M60" i="4" s="1"/>
  <c r="AG59" i="4"/>
  <c r="AE59" i="4"/>
  <c r="K59" i="4"/>
  <c r="M59" i="4" s="1"/>
  <c r="J59" i="4"/>
  <c r="AE58" i="4"/>
  <c r="J58" i="4"/>
  <c r="K58" i="4" s="1"/>
  <c r="AG57" i="4"/>
  <c r="AE57" i="4"/>
  <c r="J57" i="4"/>
  <c r="K57" i="4" s="1"/>
  <c r="M57" i="4" s="1"/>
  <c r="AE56" i="4"/>
  <c r="V56" i="4"/>
  <c r="J56" i="4"/>
  <c r="K56" i="4" s="1"/>
  <c r="M56" i="4" s="1"/>
  <c r="AI55" i="4"/>
  <c r="AG55" i="4"/>
  <c r="AE55" i="4"/>
  <c r="J55" i="4"/>
  <c r="K55" i="4" s="1"/>
  <c r="M55" i="4" s="1"/>
  <c r="AE54" i="4"/>
  <c r="V54" i="4"/>
  <c r="J54" i="4"/>
  <c r="K54" i="4" s="1"/>
  <c r="M54" i="4" s="1"/>
  <c r="AG53" i="4"/>
  <c r="AE53" i="4"/>
  <c r="J53" i="4"/>
  <c r="K53" i="4" s="1"/>
  <c r="M53" i="4" s="1"/>
  <c r="AE52" i="4"/>
  <c r="J52" i="4"/>
  <c r="K52" i="4" s="1"/>
  <c r="M52" i="4" s="1"/>
  <c r="AG51" i="4"/>
  <c r="AE51" i="4"/>
  <c r="AI51" i="4"/>
  <c r="J51" i="4"/>
  <c r="K51" i="4" s="1"/>
  <c r="M51" i="4" s="1"/>
  <c r="AE50" i="4"/>
  <c r="V50" i="4"/>
  <c r="J50" i="4"/>
  <c r="K50" i="4" s="1"/>
  <c r="AG49" i="4"/>
  <c r="AE49" i="4"/>
  <c r="J49" i="4"/>
  <c r="K49" i="4" s="1"/>
  <c r="M49" i="4" s="1"/>
  <c r="AE48" i="4"/>
  <c r="M48" i="4"/>
  <c r="K48" i="4"/>
  <c r="J48" i="4"/>
  <c r="AG47" i="4"/>
  <c r="AE47" i="4"/>
  <c r="J47" i="4"/>
  <c r="K47" i="4" s="1"/>
  <c r="M47" i="4" s="1"/>
  <c r="AE46" i="4"/>
  <c r="J46" i="4"/>
  <c r="K46" i="4" s="1"/>
  <c r="M46" i="4" s="1"/>
  <c r="AI45" i="4"/>
  <c r="AG45" i="4"/>
  <c r="AE45" i="4"/>
  <c r="J45" i="4"/>
  <c r="K45" i="4" s="1"/>
  <c r="M45" i="4" s="1"/>
  <c r="AE44" i="4"/>
  <c r="J44" i="4"/>
  <c r="K44" i="4" s="1"/>
  <c r="M44" i="4" s="1"/>
  <c r="AG43" i="4"/>
  <c r="AE43" i="4"/>
  <c r="J43" i="4"/>
  <c r="K43" i="4" s="1"/>
  <c r="M43" i="4" s="1"/>
  <c r="AE42" i="4"/>
  <c r="J42" i="4"/>
  <c r="K42" i="4" s="1"/>
  <c r="M42" i="4" s="1"/>
  <c r="AG41" i="4"/>
  <c r="AE41" i="4"/>
  <c r="AI41" i="4"/>
  <c r="J41" i="4"/>
  <c r="K41" i="4" s="1"/>
  <c r="M41" i="4" s="1"/>
  <c r="AE40" i="4"/>
  <c r="J40" i="4"/>
  <c r="K40" i="4" s="1"/>
  <c r="M40" i="4" s="1"/>
  <c r="AG39" i="4"/>
  <c r="AE39" i="4"/>
  <c r="K39" i="4"/>
  <c r="M39" i="4" s="1"/>
  <c r="J39" i="4"/>
  <c r="AE38" i="4"/>
  <c r="V38" i="4"/>
  <c r="J38" i="4"/>
  <c r="K38" i="4" s="1"/>
  <c r="AG37" i="4"/>
  <c r="AE37" i="4"/>
  <c r="J37" i="4"/>
  <c r="K37" i="4" s="1"/>
  <c r="M37" i="4" s="1"/>
  <c r="AE36" i="4"/>
  <c r="Y36" i="4"/>
  <c r="J36" i="4"/>
  <c r="K36" i="4" s="1"/>
  <c r="M36" i="4" s="1"/>
  <c r="AI35" i="4"/>
  <c r="AG35" i="4"/>
  <c r="AE35" i="4"/>
  <c r="V35" i="4"/>
  <c r="K35" i="4"/>
  <c r="M35" i="4" s="1"/>
  <c r="J35" i="4"/>
  <c r="AE34" i="4"/>
  <c r="Y34" i="4"/>
  <c r="K34" i="4"/>
  <c r="M34" i="4" s="1"/>
  <c r="J34" i="4"/>
  <c r="AI33" i="4"/>
  <c r="AG33" i="4"/>
  <c r="AE33" i="4"/>
  <c r="J33" i="4"/>
  <c r="K33" i="4" s="1"/>
  <c r="M33" i="4" s="1"/>
  <c r="AE32" i="4"/>
  <c r="J32" i="4"/>
  <c r="K32" i="4" s="1"/>
  <c r="M32" i="4" s="1"/>
  <c r="AG31" i="4"/>
  <c r="AE31" i="4"/>
  <c r="Y31" i="4"/>
  <c r="M31" i="4"/>
  <c r="K31" i="4"/>
  <c r="J31" i="4"/>
  <c r="AE30" i="4"/>
  <c r="V30" i="4"/>
  <c r="Y30" i="4"/>
  <c r="K30" i="4"/>
  <c r="M30" i="4" s="1"/>
  <c r="J30" i="4"/>
  <c r="AG29" i="4"/>
  <c r="AE29" i="4"/>
  <c r="V29" i="4"/>
  <c r="J29" i="4"/>
  <c r="K29" i="4" s="1"/>
  <c r="M29" i="4" s="1"/>
  <c r="AE28" i="4"/>
  <c r="V28" i="4"/>
  <c r="J28" i="4"/>
  <c r="K28" i="4" s="1"/>
  <c r="AG27" i="4"/>
  <c r="AE27" i="4"/>
  <c r="J27" i="4"/>
  <c r="K27" i="4" s="1"/>
  <c r="M27" i="4" s="1"/>
  <c r="AG26" i="4"/>
  <c r="AE26" i="4"/>
  <c r="J26" i="4"/>
  <c r="K26" i="4" s="1"/>
  <c r="M26" i="4" s="1"/>
  <c r="AG25" i="4"/>
  <c r="AE25" i="4"/>
  <c r="J25" i="4"/>
  <c r="K25" i="4" s="1"/>
  <c r="M25" i="4" s="1"/>
  <c r="AE24" i="4"/>
  <c r="J24" i="4"/>
  <c r="K24" i="4" s="1"/>
  <c r="M24" i="4" s="1"/>
  <c r="AG23" i="4"/>
  <c r="AE23" i="4"/>
  <c r="V23" i="4"/>
  <c r="J23" i="4"/>
  <c r="K23" i="4" s="1"/>
  <c r="M23" i="4" s="1"/>
  <c r="AE22" i="4"/>
  <c r="V22" i="4"/>
  <c r="J22" i="4"/>
  <c r="K22" i="4" s="1"/>
  <c r="M22" i="4" s="1"/>
  <c r="AG21" i="4"/>
  <c r="AE21" i="4"/>
  <c r="J21" i="4"/>
  <c r="K21" i="4" s="1"/>
  <c r="M21" i="4" s="1"/>
  <c r="AE20" i="4"/>
  <c r="J20" i="4"/>
  <c r="K20" i="4" s="1"/>
  <c r="M20" i="4" s="1"/>
  <c r="AG19" i="4"/>
  <c r="AE19" i="4"/>
  <c r="K19" i="4"/>
  <c r="M19" i="4" s="1"/>
  <c r="J19" i="4"/>
  <c r="AE18" i="4"/>
  <c r="V18" i="4"/>
  <c r="J18" i="4"/>
  <c r="K18" i="4" s="1"/>
  <c r="M18" i="4" s="1"/>
  <c r="AG17" i="4"/>
  <c r="AE17" i="4"/>
  <c r="AI17" i="4"/>
  <c r="J17" i="4"/>
  <c r="K17" i="4" s="1"/>
  <c r="M17" i="4" s="1"/>
  <c r="AE16" i="4"/>
  <c r="AI16" i="4" s="1"/>
  <c r="V16" i="4"/>
  <c r="J16" i="4"/>
  <c r="K16" i="4" s="1"/>
  <c r="AG15" i="4"/>
  <c r="AE15" i="4"/>
  <c r="J15" i="4"/>
  <c r="K15" i="4" s="1"/>
  <c r="M15" i="4" s="1"/>
  <c r="AE14" i="4"/>
  <c r="M14" i="4"/>
  <c r="K14" i="4"/>
  <c r="J14" i="4"/>
  <c r="AG13" i="4"/>
  <c r="AE13" i="4"/>
  <c r="V13" i="4"/>
  <c r="J13" i="4"/>
  <c r="K13" i="4" s="1"/>
  <c r="M13" i="4" s="1"/>
  <c r="AE12" i="4"/>
  <c r="J12" i="4"/>
  <c r="K12" i="4" s="1"/>
  <c r="M12" i="4" s="1"/>
  <c r="AI11" i="4"/>
  <c r="AG11" i="4"/>
  <c r="AE11" i="4"/>
  <c r="J11" i="4"/>
  <c r="K11" i="4" s="1"/>
  <c r="M11" i="4" s="1"/>
  <c r="AE10" i="4"/>
  <c r="V10" i="4"/>
  <c r="J10" i="4"/>
  <c r="K10" i="4" s="1"/>
  <c r="M10" i="4" s="1"/>
  <c r="AI9" i="4"/>
  <c r="AG9" i="4"/>
  <c r="AE9" i="4"/>
  <c r="V9" i="4"/>
  <c r="J9" i="4"/>
  <c r="K9" i="4" s="1"/>
  <c r="M9" i="4" s="1"/>
  <c r="AE8" i="4"/>
  <c r="J8" i="4"/>
  <c r="K8" i="4" s="1"/>
  <c r="M8" i="4" s="1"/>
  <c r="AG7" i="4"/>
  <c r="AE7" i="4"/>
  <c r="AI7" i="4"/>
  <c r="J7" i="4"/>
  <c r="K7" i="4" s="1"/>
  <c r="M7" i="4" s="1"/>
  <c r="AE6" i="4"/>
  <c r="J6" i="4"/>
  <c r="K6" i="4" s="1"/>
  <c r="M6" i="4" s="1"/>
  <c r="AG5" i="4"/>
  <c r="AE5" i="4"/>
  <c r="K5" i="4"/>
  <c r="M5" i="4" s="1"/>
  <c r="J5" i="4"/>
  <c r="AF4" i="4"/>
  <c r="AD4" i="4"/>
  <c r="AE4" i="4" s="1"/>
  <c r="AC4" i="4"/>
  <c r="AB4" i="4"/>
  <c r="AA4" i="4"/>
  <c r="Z4" i="4"/>
  <c r="Y4" i="4"/>
  <c r="J4" i="4"/>
  <c r="K4" i="4" s="1"/>
  <c r="M4" i="4" s="1"/>
  <c r="H33" i="5" l="1"/>
  <c r="I33" i="5" s="1" a="1"/>
  <c r="I33" i="5" s="1"/>
  <c r="L43" i="5"/>
  <c r="L64" i="5"/>
  <c r="L42" i="5"/>
  <c r="L63" i="5"/>
  <c r="L19" i="5"/>
  <c r="L84" i="5"/>
  <c r="L62" i="5"/>
  <c r="V47" i="4"/>
  <c r="V48" i="4"/>
  <c r="X48" i="4" s="1"/>
  <c r="D78" i="5"/>
  <c r="AH13" i="4"/>
  <c r="V43" i="4"/>
  <c r="V25" i="4"/>
  <c r="Y68" i="4"/>
  <c r="Y92" i="4"/>
  <c r="AH35" i="4"/>
  <c r="V93" i="4"/>
  <c r="X93" i="4" s="1"/>
  <c r="V88" i="4"/>
  <c r="X88" i="4" s="1"/>
  <c r="AH29" i="4"/>
  <c r="V91" i="4"/>
  <c r="X91" i="4" s="1"/>
  <c r="AH9" i="4"/>
  <c r="AH43" i="4"/>
  <c r="AH25" i="4"/>
  <c r="V69" i="4"/>
  <c r="AH69" i="4" s="1"/>
  <c r="X21" i="4"/>
  <c r="V21" i="4"/>
  <c r="AH21" i="4"/>
  <c r="AH89" i="4"/>
  <c r="H26" i="5"/>
  <c r="I26" i="5" s="1" a="1"/>
  <c r="I26" i="5" s="1"/>
  <c r="H25" i="5"/>
  <c r="I25" i="5" s="1" a="1"/>
  <c r="I25" i="5" s="1"/>
  <c r="H97" i="5"/>
  <c r="I97" i="5" s="1" a="1"/>
  <c r="I97" i="5" s="1"/>
  <c r="H75" i="5"/>
  <c r="I75" i="5" s="1" a="1"/>
  <c r="I75" i="5" s="1"/>
  <c r="H53" i="5"/>
  <c r="I53" i="5" s="1" a="1"/>
  <c r="I53" i="5" s="1"/>
  <c r="H31" i="5"/>
  <c r="I31" i="5" s="1" a="1"/>
  <c r="I31" i="5" s="1"/>
  <c r="H9" i="5"/>
  <c r="I9" i="5" s="1" a="1"/>
  <c r="I9" i="5" s="1"/>
  <c r="L29" i="5"/>
  <c r="L7" i="5"/>
  <c r="H96" i="5"/>
  <c r="I96" i="5" s="1" a="1"/>
  <c r="I96" i="5" s="1"/>
  <c r="H74" i="5"/>
  <c r="I74" i="5" s="1" a="1"/>
  <c r="I74" i="5" s="1"/>
  <c r="H52" i="5"/>
  <c r="I52" i="5" s="1" a="1"/>
  <c r="I52" i="5" s="1"/>
  <c r="H30" i="5"/>
  <c r="I30" i="5" s="1" a="1"/>
  <c r="I30" i="5" s="1"/>
  <c r="H8" i="5"/>
  <c r="I8" i="5" s="1" a="1"/>
  <c r="I8" i="5" s="1"/>
  <c r="L94" i="5"/>
  <c r="L72" i="5"/>
  <c r="L50" i="5"/>
  <c r="L28" i="5"/>
  <c r="L6" i="5"/>
  <c r="H94" i="5"/>
  <c r="I94" i="5" s="1" a="1"/>
  <c r="I94" i="5" s="1"/>
  <c r="H72" i="5"/>
  <c r="I72" i="5" s="1" a="1"/>
  <c r="I72" i="5" s="1"/>
  <c r="H50" i="5"/>
  <c r="I50" i="5" s="1" a="1"/>
  <c r="I50" i="5" s="1"/>
  <c r="H28" i="5"/>
  <c r="I28" i="5" s="1" a="1"/>
  <c r="I28" i="5" s="1"/>
  <c r="H6" i="5"/>
  <c r="I6" i="5" s="1" a="1"/>
  <c r="I6" i="5" s="1"/>
  <c r="L82" i="5"/>
  <c r="L60" i="5"/>
  <c r="L38" i="5"/>
  <c r="L83" i="5"/>
  <c r="H93" i="5"/>
  <c r="I93" i="5" s="1" a="1"/>
  <c r="I93" i="5" s="1"/>
  <c r="H71" i="5"/>
  <c r="I71" i="5" s="1" a="1"/>
  <c r="I71" i="5" s="1"/>
  <c r="H49" i="5"/>
  <c r="I49" i="5" s="1" a="1"/>
  <c r="I49" i="5" s="1"/>
  <c r="H27" i="5"/>
  <c r="I27" i="5" s="1" a="1"/>
  <c r="I27" i="5" s="1"/>
  <c r="H5" i="5"/>
  <c r="I5" i="5" s="1" a="1"/>
  <c r="I5" i="5" s="1"/>
  <c r="L61" i="5"/>
  <c r="H92" i="5"/>
  <c r="I92" i="5" s="1" a="1"/>
  <c r="I92" i="5" s="1"/>
  <c r="H70" i="5"/>
  <c r="I70" i="5" s="1" a="1"/>
  <c r="I70" i="5" s="1"/>
  <c r="H48" i="5"/>
  <c r="I48" i="5" s="1" a="1"/>
  <c r="I48" i="5" s="1"/>
  <c r="H4" i="5"/>
  <c r="I4" i="5" s="1" a="1"/>
  <c r="I4" i="5" s="1"/>
  <c r="H95" i="5"/>
  <c r="I95" i="5" s="1" a="1"/>
  <c r="I95" i="5" s="1"/>
  <c r="H29" i="5"/>
  <c r="I29" i="5" s="1" a="1"/>
  <c r="I29" i="5" s="1"/>
  <c r="D93" i="5"/>
  <c r="H91" i="5"/>
  <c r="I91" i="5" s="1" a="1"/>
  <c r="I91" i="5" s="1"/>
  <c r="H69" i="5"/>
  <c r="I69" i="5" s="1" a="1"/>
  <c r="I69" i="5" s="1"/>
  <c r="H47" i="5"/>
  <c r="I47" i="5" s="1" a="1"/>
  <c r="I47" i="5" s="1"/>
  <c r="H3" i="5"/>
  <c r="I3" i="5" s="1" a="1"/>
  <c r="I3" i="5" s="1"/>
  <c r="D25" i="5"/>
  <c r="H67" i="5"/>
  <c r="I67" i="5" s="1" a="1"/>
  <c r="I67" i="5" s="1"/>
  <c r="L99" i="5"/>
  <c r="L77" i="5"/>
  <c r="L55" i="5"/>
  <c r="L33" i="5"/>
  <c r="L11" i="5"/>
  <c r="L87" i="5"/>
  <c r="L65" i="5"/>
  <c r="L21" i="5"/>
  <c r="D3" i="5"/>
  <c r="L98" i="5"/>
  <c r="L32" i="5"/>
  <c r="L86" i="5"/>
  <c r="L20" i="5"/>
  <c r="D91" i="5"/>
  <c r="D69" i="5"/>
  <c r="H89" i="5"/>
  <c r="I89" i="5" s="1" a="1"/>
  <c r="I89" i="5" s="1"/>
  <c r="H23" i="5"/>
  <c r="I23" i="5" s="1" a="1"/>
  <c r="I23" i="5" s="1"/>
  <c r="D90" i="5"/>
  <c r="D68" i="5"/>
  <c r="D24" i="5"/>
  <c r="H88" i="5"/>
  <c r="I88" i="5" s="1" a="1"/>
  <c r="I88" i="5" s="1"/>
  <c r="H66" i="5"/>
  <c r="I66" i="5" s="1" a="1"/>
  <c r="I66" i="5" s="1"/>
  <c r="H44" i="5"/>
  <c r="I44" i="5" s="1" a="1"/>
  <c r="I44" i="5" s="1"/>
  <c r="H22" i="5"/>
  <c r="I22" i="5" s="1" a="1"/>
  <c r="I22" i="5" s="1"/>
  <c r="L76" i="5"/>
  <c r="L54" i="5"/>
  <c r="L10" i="5"/>
  <c r="D89" i="5"/>
  <c r="D67" i="5"/>
  <c r="D45" i="5"/>
  <c r="D23" i="5"/>
  <c r="H99" i="5"/>
  <c r="I99" i="5" s="1" a="1"/>
  <c r="I99" i="5" s="1"/>
  <c r="H77" i="5"/>
  <c r="I77" i="5" s="1" a="1"/>
  <c r="I77" i="5" s="1"/>
  <c r="H55" i="5"/>
  <c r="I55" i="5" s="1" a="1"/>
  <c r="I55" i="5" s="1"/>
  <c r="H11" i="5"/>
  <c r="I11" i="5" s="1" a="1"/>
  <c r="I11" i="5" s="1"/>
  <c r="H87" i="5"/>
  <c r="I87" i="5" s="1" a="1"/>
  <c r="I87" i="5" s="1"/>
  <c r="H65" i="5"/>
  <c r="I65" i="5" s="1" a="1"/>
  <c r="I65" i="5" s="1"/>
  <c r="H43" i="5"/>
  <c r="I43" i="5" s="1" a="1"/>
  <c r="I43" i="5" s="1"/>
  <c r="H21" i="5"/>
  <c r="I21" i="5" s="1" a="1"/>
  <c r="I21" i="5" s="1"/>
  <c r="L97" i="5"/>
  <c r="L75" i="5"/>
  <c r="L53" i="5"/>
  <c r="L31" i="5"/>
  <c r="L9" i="5"/>
  <c r="L85" i="5"/>
  <c r="L41" i="5"/>
  <c r="D47" i="5"/>
  <c r="H45" i="5"/>
  <c r="I45" i="5" s="1" a="1"/>
  <c r="I45" i="5" s="1"/>
  <c r="D46" i="5"/>
  <c r="D88" i="5"/>
  <c r="D66" i="5"/>
  <c r="D44" i="5"/>
  <c r="D22" i="5"/>
  <c r="H98" i="5"/>
  <c r="I98" i="5" s="1" a="1"/>
  <c r="I98" i="5" s="1"/>
  <c r="H76" i="5"/>
  <c r="I76" i="5" s="1" a="1"/>
  <c r="I76" i="5" s="1"/>
  <c r="H54" i="5"/>
  <c r="I54" i="5" s="1" a="1"/>
  <c r="I54" i="5" s="1"/>
  <c r="H32" i="5"/>
  <c r="I32" i="5" s="1" a="1"/>
  <c r="I32" i="5" s="1"/>
  <c r="H10" i="5"/>
  <c r="I10" i="5" s="1" a="1"/>
  <c r="I10" i="5" s="1"/>
  <c r="H86" i="5"/>
  <c r="I86" i="5" s="1" a="1"/>
  <c r="I86" i="5" s="1"/>
  <c r="H64" i="5"/>
  <c r="I64" i="5" s="1" a="1"/>
  <c r="I64" i="5" s="1"/>
  <c r="H42" i="5"/>
  <c r="I42" i="5" s="1" a="1"/>
  <c r="I42" i="5" s="1"/>
  <c r="H20" i="5"/>
  <c r="I20" i="5" s="1" a="1"/>
  <c r="I20" i="5" s="1"/>
  <c r="L96" i="5"/>
  <c r="L74" i="5"/>
  <c r="L52" i="5"/>
  <c r="L30" i="5"/>
  <c r="L8" i="5"/>
  <c r="L40" i="5"/>
  <c r="L18" i="5"/>
  <c r="D87" i="5"/>
  <c r="D65" i="5"/>
  <c r="D43" i="5"/>
  <c r="D21" i="5"/>
  <c r="H85" i="5"/>
  <c r="I85" i="5" s="1" a="1"/>
  <c r="I85" i="5" s="1"/>
  <c r="H63" i="5"/>
  <c r="H41" i="5"/>
  <c r="H19" i="5"/>
  <c r="L95" i="5"/>
  <c r="L73" i="5"/>
  <c r="L51" i="5"/>
  <c r="L39" i="5"/>
  <c r="L17" i="5"/>
  <c r="D86" i="5"/>
  <c r="D64" i="5"/>
  <c r="D42" i="5"/>
  <c r="D20" i="5"/>
  <c r="H84" i="5"/>
  <c r="I84" i="5" s="1" a="1"/>
  <c r="I84" i="5" s="1"/>
  <c r="H62" i="5"/>
  <c r="I62" i="5" s="1" a="1"/>
  <c r="I62" i="5" s="1"/>
  <c r="H40" i="5"/>
  <c r="I40" i="5" s="1" a="1"/>
  <c r="I40" i="5" s="1"/>
  <c r="H18" i="5"/>
  <c r="L16" i="5"/>
  <c r="D19" i="5"/>
  <c r="H7" i="5"/>
  <c r="I7" i="5" s="1" a="1"/>
  <c r="I7" i="5" s="1"/>
  <c r="L49" i="5"/>
  <c r="D62" i="5"/>
  <c r="H38" i="5"/>
  <c r="L58" i="5"/>
  <c r="D61" i="5"/>
  <c r="H81" i="5"/>
  <c r="I81" i="5" s="1" a="1"/>
  <c r="I81" i="5" s="1"/>
  <c r="H37" i="5"/>
  <c r="I37" i="5" s="1" a="1"/>
  <c r="I37" i="5" s="1"/>
  <c r="H15" i="5"/>
  <c r="I15" i="5" s="1" a="1"/>
  <c r="I15" i="5" s="1"/>
  <c r="L69" i="5"/>
  <c r="L25" i="5"/>
  <c r="L3" i="5"/>
  <c r="L57" i="5"/>
  <c r="L13" i="5"/>
  <c r="D82" i="5"/>
  <c r="D60" i="5"/>
  <c r="D38" i="5"/>
  <c r="D16" i="5"/>
  <c r="H80" i="5"/>
  <c r="I80" i="5" s="1" a="1"/>
  <c r="I80" i="5" s="1"/>
  <c r="H58" i="5"/>
  <c r="I58" i="5" s="1" a="1"/>
  <c r="I58" i="5" s="1"/>
  <c r="H36" i="5"/>
  <c r="I36" i="5" s="1" a="1"/>
  <c r="I36" i="5" s="1"/>
  <c r="H14" i="5"/>
  <c r="I14" i="5" s="1" a="1"/>
  <c r="I14" i="5" s="1"/>
  <c r="L90" i="5"/>
  <c r="L68" i="5"/>
  <c r="L46" i="5"/>
  <c r="L24" i="5"/>
  <c r="L2" i="5"/>
  <c r="L78" i="5"/>
  <c r="L56" i="5"/>
  <c r="L34" i="5"/>
  <c r="L12" i="5"/>
  <c r="H61" i="5"/>
  <c r="I61" i="5" s="1" a="1"/>
  <c r="I61" i="5" s="1"/>
  <c r="L81" i="5"/>
  <c r="H82" i="5"/>
  <c r="L48" i="5"/>
  <c r="L36" i="5"/>
  <c r="D83" i="5"/>
  <c r="D39" i="5"/>
  <c r="D17" i="5"/>
  <c r="H59" i="5"/>
  <c r="I59" i="5" s="1" a="1"/>
  <c r="I59" i="5" s="1"/>
  <c r="L91" i="5"/>
  <c r="L47" i="5"/>
  <c r="L79" i="5"/>
  <c r="L35" i="5"/>
  <c r="H35" i="5"/>
  <c r="H13" i="5"/>
  <c r="I13" i="5" s="1" a="1"/>
  <c r="I13" i="5" s="1"/>
  <c r="L89" i="5"/>
  <c r="L67" i="5"/>
  <c r="L45" i="5"/>
  <c r="L23" i="5"/>
  <c r="L93" i="5"/>
  <c r="L44" i="5"/>
  <c r="L22" i="5"/>
  <c r="H17" i="5"/>
  <c r="L92" i="5"/>
  <c r="D63" i="5"/>
  <c r="L71" i="5"/>
  <c r="L37" i="5"/>
  <c r="H60" i="5"/>
  <c r="H16" i="5"/>
  <c r="I16" i="5" s="1" a="1"/>
  <c r="I16" i="5" s="1"/>
  <c r="L26" i="5"/>
  <c r="H90" i="5"/>
  <c r="H34" i="5"/>
  <c r="I34" i="5" s="1" a="1"/>
  <c r="I34" i="5" s="1"/>
  <c r="H12" i="5"/>
  <c r="I12" i="5" s="1" a="1"/>
  <c r="I12" i="5" s="1"/>
  <c r="D85" i="5"/>
  <c r="H51" i="5"/>
  <c r="I51" i="5" s="1" a="1"/>
  <c r="I51" i="5" s="1"/>
  <c r="L59" i="5"/>
  <c r="D40" i="5"/>
  <c r="L80" i="5"/>
  <c r="H46" i="5"/>
  <c r="L66" i="5"/>
  <c r="D41" i="5"/>
  <c r="H73" i="5"/>
  <c r="I73" i="5" s="1" a="1"/>
  <c r="I73" i="5" s="1"/>
  <c r="H83" i="5"/>
  <c r="H39" i="5"/>
  <c r="L27" i="5"/>
  <c r="L5" i="5"/>
  <c r="L15" i="5"/>
  <c r="D84" i="5"/>
  <c r="D18" i="5"/>
  <c r="L70" i="5"/>
  <c r="L4" i="5"/>
  <c r="L14" i="5"/>
  <c r="H68" i="5"/>
  <c r="H24" i="5"/>
  <c r="I24" i="5" s="1" a="1"/>
  <c r="I24" i="5" s="1"/>
  <c r="L88" i="5"/>
  <c r="H79" i="5"/>
  <c r="I79" i="5" s="1" a="1"/>
  <c r="I79" i="5" s="1"/>
  <c r="H57" i="5"/>
  <c r="I57" i="5" s="1" a="1"/>
  <c r="I57" i="5" s="1"/>
  <c r="H2" i="5"/>
  <c r="I2" i="5" s="1" a="1"/>
  <c r="I2" i="5" s="1"/>
  <c r="H56" i="5"/>
  <c r="I56" i="5" s="1" a="1"/>
  <c r="I56" i="5" s="1"/>
  <c r="H78" i="5"/>
  <c r="I78" i="5" s="1" a="1"/>
  <c r="I78" i="5" s="1"/>
  <c r="D81" i="5"/>
  <c r="D59" i="5"/>
  <c r="D37" i="5"/>
  <c r="D15" i="5"/>
  <c r="D58" i="5"/>
  <c r="D35" i="5"/>
  <c r="D2" i="5"/>
  <c r="D56" i="5"/>
  <c r="D34" i="5"/>
  <c r="D12" i="5"/>
  <c r="D80" i="5"/>
  <c r="D57" i="5"/>
  <c r="D13" i="5"/>
  <c r="D99" i="5"/>
  <c r="D77" i="5"/>
  <c r="D55" i="5"/>
  <c r="D33" i="5"/>
  <c r="D11" i="5"/>
  <c r="D76" i="5"/>
  <c r="D54" i="5"/>
  <c r="D32" i="5"/>
  <c r="D10" i="5"/>
  <c r="D79" i="5"/>
  <c r="D98" i="5"/>
  <c r="D97" i="5"/>
  <c r="D75" i="5"/>
  <c r="D53" i="5"/>
  <c r="D31" i="5"/>
  <c r="D9" i="5"/>
  <c r="D14" i="5"/>
  <c r="D96" i="5"/>
  <c r="D74" i="5"/>
  <c r="D52" i="5"/>
  <c r="D30" i="5"/>
  <c r="D8" i="5"/>
  <c r="D95" i="5"/>
  <c r="D73" i="5"/>
  <c r="D51" i="5"/>
  <c r="D29" i="5"/>
  <c r="D7" i="5"/>
  <c r="D72" i="5"/>
  <c r="D28" i="5"/>
  <c r="D6" i="5"/>
  <c r="D94" i="5"/>
  <c r="D50" i="5"/>
  <c r="D71" i="5"/>
  <c r="D49" i="5"/>
  <c r="D27" i="5"/>
  <c r="D5" i="5"/>
  <c r="D36" i="5"/>
  <c r="D92" i="5"/>
  <c r="D70" i="5"/>
  <c r="D48" i="5"/>
  <c r="D26" i="5"/>
  <c r="D4" i="5"/>
  <c r="M28" i="4"/>
  <c r="Y28" i="4"/>
  <c r="M38" i="4"/>
  <c r="Y38" i="4"/>
  <c r="Y12" i="4"/>
  <c r="AH23" i="4"/>
  <c r="X23" i="4"/>
  <c r="X28" i="4"/>
  <c r="X18" i="4"/>
  <c r="AH33" i="4"/>
  <c r="X38" i="4"/>
  <c r="Y60" i="4"/>
  <c r="Y98" i="4"/>
  <c r="X13" i="4"/>
  <c r="X29" i="4"/>
  <c r="X44" i="4"/>
  <c r="X61" i="4"/>
  <c r="Y40" i="4"/>
  <c r="AH83" i="4"/>
  <c r="Y46" i="4"/>
  <c r="X100" i="4"/>
  <c r="Y56" i="4"/>
  <c r="Y8" i="4"/>
  <c r="X94" i="4"/>
  <c r="M58" i="4"/>
  <c r="X58" i="4" s="1"/>
  <c r="Y58" i="4"/>
  <c r="X99" i="4"/>
  <c r="AH99" i="4"/>
  <c r="X24" i="4"/>
  <c r="X20" i="4"/>
  <c r="AI4" i="4"/>
  <c r="AG4" i="4"/>
  <c r="X10" i="4"/>
  <c r="Y26" i="4"/>
  <c r="X47" i="4"/>
  <c r="Y74" i="4"/>
  <c r="Y50" i="4"/>
  <c r="M50" i="4"/>
  <c r="X50" i="4"/>
  <c r="Y20" i="4"/>
  <c r="X35" i="4"/>
  <c r="AH61" i="4"/>
  <c r="X9" i="4"/>
  <c r="X30" i="4"/>
  <c r="X68" i="4"/>
  <c r="Y82" i="4"/>
  <c r="X72" i="4"/>
  <c r="Y62" i="4"/>
  <c r="X25" i="4"/>
  <c r="AH31" i="4"/>
  <c r="Y42" i="4"/>
  <c r="X64" i="4"/>
  <c r="AH85" i="4"/>
  <c r="Y96" i="4"/>
  <c r="X83" i="4"/>
  <c r="Y100" i="4"/>
  <c r="Y32" i="4"/>
  <c r="Y80" i="4"/>
  <c r="X56" i="4"/>
  <c r="X78" i="4"/>
  <c r="Y52" i="4"/>
  <c r="M16" i="4"/>
  <c r="Y16" i="4"/>
  <c r="X16" i="4"/>
  <c r="AH47" i="4"/>
  <c r="X22" i="4"/>
  <c r="X54" i="4"/>
  <c r="Y86" i="4"/>
  <c r="Y24" i="4"/>
  <c r="X45" i="4"/>
  <c r="AH45" i="4"/>
  <c r="M94" i="4"/>
  <c r="Y94" i="4"/>
  <c r="Y84" i="4"/>
  <c r="Y6" i="4"/>
  <c r="X43" i="4"/>
  <c r="Y70" i="4"/>
  <c r="Y76" i="4"/>
  <c r="M76" i="4"/>
  <c r="X76" i="4" s="1"/>
  <c r="Y53" i="4"/>
  <c r="AG16" i="4"/>
  <c r="AH16" i="4" s="1"/>
  <c r="V19" i="4"/>
  <c r="X19" i="4" s="1"/>
  <c r="V7" i="4"/>
  <c r="X7" i="4" s="1"/>
  <c r="Y14" i="4"/>
  <c r="AI26" i="4"/>
  <c r="V36" i="4"/>
  <c r="X36" i="4" s="1"/>
  <c r="V41" i="4"/>
  <c r="X41" i="4" s="1"/>
  <c r="Y48" i="4"/>
  <c r="Y66" i="4"/>
  <c r="Y69" i="4"/>
  <c r="V74" i="4"/>
  <c r="X74" i="4" s="1"/>
  <c r="AI84" i="4"/>
  <c r="AG84" i="4"/>
  <c r="V87" i="4"/>
  <c r="X87" i="4" s="1"/>
  <c r="AI68" i="4"/>
  <c r="AG68" i="4"/>
  <c r="AH68" i="4" s="1"/>
  <c r="Y97" i="4"/>
  <c r="AI94" i="4"/>
  <c r="AG94" i="4"/>
  <c r="AH94" i="4" s="1"/>
  <c r="AI97" i="4"/>
  <c r="V51" i="4"/>
  <c r="X51" i="4" s="1"/>
  <c r="V17" i="4"/>
  <c r="X17" i="4" s="1"/>
  <c r="AI36" i="4"/>
  <c r="AG36" i="4"/>
  <c r="AI74" i="4"/>
  <c r="AG74" i="4"/>
  <c r="Y27" i="4"/>
  <c r="Y49" i="4"/>
  <c r="AI69" i="4"/>
  <c r="Y22" i="4"/>
  <c r="AI29" i="4"/>
  <c r="AI34" i="4"/>
  <c r="AG34" i="4"/>
  <c r="Y37" i="4"/>
  <c r="Y72" i="4"/>
  <c r="Y75" i="4"/>
  <c r="V80" i="4"/>
  <c r="X80" i="4" s="1"/>
  <c r="AI90" i="4"/>
  <c r="AG90" i="4"/>
  <c r="AI31" i="4"/>
  <c r="Y59" i="4"/>
  <c r="Y64" i="4"/>
  <c r="V67" i="4"/>
  <c r="V98" i="4"/>
  <c r="X98" i="4" s="1"/>
  <c r="Y10" i="4"/>
  <c r="AI22" i="4"/>
  <c r="AG22" i="4"/>
  <c r="AH22" i="4" s="1"/>
  <c r="Y25" i="4"/>
  <c r="V32" i="4"/>
  <c r="X32" i="4" s="1"/>
  <c r="V37" i="4"/>
  <c r="Y44" i="4"/>
  <c r="Y54" i="4"/>
  <c r="Y57" i="4"/>
  <c r="AI59" i="4"/>
  <c r="V62" i="4"/>
  <c r="X62" i="4" s="1"/>
  <c r="AI72" i="4"/>
  <c r="AG72" i="4"/>
  <c r="AH72" i="4" s="1"/>
  <c r="V75" i="4"/>
  <c r="X75" i="4" s="1"/>
  <c r="AI101" i="4"/>
  <c r="Y101" i="4"/>
  <c r="V101" i="4"/>
  <c r="X101" i="4" s="1"/>
  <c r="AI98" i="4"/>
  <c r="AG98" i="4"/>
  <c r="V97" i="4"/>
  <c r="X97" i="4" s="1"/>
  <c r="Y61" i="4"/>
  <c r="Y7" i="4"/>
  <c r="AI48" i="4"/>
  <c r="AG48" i="4"/>
  <c r="AH48" i="4" s="1"/>
  <c r="Y95" i="4"/>
  <c r="V12" i="4"/>
  <c r="X12" i="4" s="1"/>
  <c r="Y77" i="4"/>
  <c r="V82" i="4"/>
  <c r="X82" i="4" s="1"/>
  <c r="Y5" i="4"/>
  <c r="Y39" i="4"/>
  <c r="AI24" i="4"/>
  <c r="AG24" i="4"/>
  <c r="AH24" i="4" s="1"/>
  <c r="AI12" i="4"/>
  <c r="AG12" i="4"/>
  <c r="V49" i="4"/>
  <c r="X49" i="4" s="1"/>
  <c r="AI39" i="4"/>
  <c r="V70" i="4"/>
  <c r="X70" i="4" s="1"/>
  <c r="AI80" i="4"/>
  <c r="AG80" i="4"/>
  <c r="X71" i="4"/>
  <c r="V26" i="4"/>
  <c r="X26" i="4" s="1"/>
  <c r="Y87" i="4"/>
  <c r="AI53" i="4"/>
  <c r="Y17" i="4"/>
  <c r="V46" i="4"/>
  <c r="X46" i="4" s="1"/>
  <c r="AI56" i="4"/>
  <c r="AG56" i="4"/>
  <c r="AH56" i="4" s="1"/>
  <c r="AI100" i="4"/>
  <c r="AG100" i="4"/>
  <c r="AH100" i="4" s="1"/>
  <c r="AI46" i="4"/>
  <c r="AG46" i="4"/>
  <c r="Y93" i="4"/>
  <c r="AI10" i="4"/>
  <c r="AG10" i="4"/>
  <c r="AH10" i="4" s="1"/>
  <c r="Y47" i="4"/>
  <c r="V8" i="4"/>
  <c r="X8" i="4" s="1"/>
  <c r="V42" i="4"/>
  <c r="X42" i="4" s="1"/>
  <c r="V4" i="4"/>
  <c r="X4" i="4" s="1"/>
  <c r="AI27" i="4"/>
  <c r="AI32" i="4"/>
  <c r="AG32" i="4"/>
  <c r="Y35" i="4"/>
  <c r="AI49" i="4"/>
  <c r="V52" i="4"/>
  <c r="X52" i="4" s="1"/>
  <c r="AI62" i="4"/>
  <c r="AG62" i="4"/>
  <c r="V65" i="4"/>
  <c r="X65" i="4" s="1"/>
  <c r="Y91" i="4"/>
  <c r="AI93" i="4"/>
  <c r="V96" i="4"/>
  <c r="X96" i="4" s="1"/>
  <c r="V84" i="4"/>
  <c r="X84" i="4" s="1"/>
  <c r="V79" i="4"/>
  <c r="V92" i="4"/>
  <c r="X92" i="4" s="1"/>
  <c r="Y51" i="4"/>
  <c r="AI92" i="4"/>
  <c r="AG92" i="4"/>
  <c r="AH92" i="4" s="1"/>
  <c r="V5" i="4"/>
  <c r="X5" i="4" s="1"/>
  <c r="V34" i="4"/>
  <c r="X34" i="4" s="1"/>
  <c r="V90" i="4"/>
  <c r="X90" i="4" s="1"/>
  <c r="Y13" i="4"/>
  <c r="AI44" i="4"/>
  <c r="AG44" i="4"/>
  <c r="AH44" i="4" s="1"/>
  <c r="X57" i="4"/>
  <c r="AI20" i="4"/>
  <c r="AG20" i="4"/>
  <c r="AH20" i="4" s="1"/>
  <c r="AH57" i="4"/>
  <c r="Y73" i="4"/>
  <c r="AI75" i="4"/>
  <c r="AI88" i="4"/>
  <c r="AG88" i="4"/>
  <c r="Y19" i="4"/>
  <c r="AI58" i="4"/>
  <c r="AG58" i="4"/>
  <c r="AH58" i="4" s="1"/>
  <c r="Y41" i="4"/>
  <c r="AI79" i="4"/>
  <c r="V77" i="4"/>
  <c r="X77" i="4" s="1"/>
  <c r="AI82" i="4"/>
  <c r="AG82" i="4"/>
  <c r="Y83" i="4"/>
  <c r="Y11" i="4"/>
  <c r="Y55" i="4"/>
  <c r="M68" i="4"/>
  <c r="V73" i="4"/>
  <c r="X73" i="4" s="1"/>
  <c r="V6" i="4"/>
  <c r="X6" i="4" s="1"/>
  <c r="V11" i="4"/>
  <c r="AI25" i="4"/>
  <c r="V40" i="4"/>
  <c r="X40" i="4" s="1"/>
  <c r="AI52" i="4"/>
  <c r="AG52" i="4"/>
  <c r="AH52" i="4" s="1"/>
  <c r="V55" i="4"/>
  <c r="Y81" i="4"/>
  <c r="AI83" i="4"/>
  <c r="V86" i="4"/>
  <c r="X86" i="4" s="1"/>
  <c r="AI96" i="4"/>
  <c r="AG96" i="4"/>
  <c r="V102" i="4"/>
  <c r="X102" i="4" s="1"/>
  <c r="AI50" i="4"/>
  <c r="AG50" i="4"/>
  <c r="AH50" i="4" s="1"/>
  <c r="Y29" i="4"/>
  <c r="AI66" i="4"/>
  <c r="AG66" i="4"/>
  <c r="AH66" i="4" s="1"/>
  <c r="AI61" i="4"/>
  <c r="Y67" i="4"/>
  <c r="AI64" i="4"/>
  <c r="AG64" i="4"/>
  <c r="AH64" i="4" s="1"/>
  <c r="AI95" i="4"/>
  <c r="AI5" i="4"/>
  <c r="Y23" i="4"/>
  <c r="AI8" i="4"/>
  <c r="AG8" i="4"/>
  <c r="AI37" i="4"/>
  <c r="Y45" i="4"/>
  <c r="V60" i="4"/>
  <c r="X60" i="4" s="1"/>
  <c r="Y99" i="4"/>
  <c r="AI13" i="4"/>
  <c r="Y18" i="4"/>
  <c r="AI30" i="4"/>
  <c r="AG30" i="4"/>
  <c r="AH30" i="4" s="1"/>
  <c r="Y33" i="4"/>
  <c r="AI47" i="4"/>
  <c r="Y63" i="4"/>
  <c r="AI78" i="4"/>
  <c r="AG78" i="4"/>
  <c r="AH78" i="4" s="1"/>
  <c r="V81" i="4"/>
  <c r="V53" i="4"/>
  <c r="X53" i="4" s="1"/>
  <c r="AI76" i="4"/>
  <c r="AG76" i="4"/>
  <c r="AH76" i="4" s="1"/>
  <c r="AI38" i="4"/>
  <c r="AG38" i="4"/>
  <c r="AH38" i="4" s="1"/>
  <c r="V39" i="4"/>
  <c r="X39" i="4" s="1"/>
  <c r="V59" i="4"/>
  <c r="X59" i="4" s="1"/>
  <c r="Y85" i="4"/>
  <c r="Y15" i="4"/>
  <c r="V15" i="4"/>
  <c r="X15" i="4" s="1"/>
  <c r="V27" i="4"/>
  <c r="X27" i="4" s="1"/>
  <c r="AI54" i="4"/>
  <c r="AG54" i="4"/>
  <c r="AH54" i="4" s="1"/>
  <c r="AI85" i="4"/>
  <c r="Y65" i="4"/>
  <c r="AI42" i="4"/>
  <c r="AG42" i="4"/>
  <c r="AI57" i="4"/>
  <c r="AI70" i="4"/>
  <c r="AG70" i="4"/>
  <c r="AI18" i="4"/>
  <c r="AG18" i="4"/>
  <c r="AH18" i="4" s="1"/>
  <c r="Y21" i="4"/>
  <c r="V33" i="4"/>
  <c r="X33" i="4" s="1"/>
  <c r="AI60" i="4"/>
  <c r="AG60" i="4"/>
  <c r="V63" i="4"/>
  <c r="X63" i="4" s="1"/>
  <c r="Y89" i="4"/>
  <c r="AI91" i="4"/>
  <c r="AI28" i="4"/>
  <c r="AG28" i="4"/>
  <c r="AH28" i="4" s="1"/>
  <c r="V31" i="4"/>
  <c r="X31" i="4" s="1"/>
  <c r="AI14" i="4"/>
  <c r="AG14" i="4"/>
  <c r="AH14" i="4" s="1"/>
  <c r="V95" i="4"/>
  <c r="X95" i="4" s="1"/>
  <c r="AI6" i="4"/>
  <c r="AG6" i="4"/>
  <c r="Y9" i="4"/>
  <c r="AI40" i="4"/>
  <c r="AG40" i="4"/>
  <c r="Y43" i="4"/>
  <c r="Y71" i="4"/>
  <c r="AI73" i="4"/>
  <c r="AI86" i="4"/>
  <c r="AG86" i="4"/>
  <c r="X89" i="4"/>
  <c r="AI102" i="4"/>
  <c r="AG102" i="4"/>
  <c r="M34" i="5" l="1" a="1"/>
  <c r="M34" i="5" s="1"/>
  <c r="O34" i="5"/>
  <c r="M95" i="5" a="1"/>
  <c r="M95" i="5" s="1"/>
  <c r="O95" i="5"/>
  <c r="O89" i="5"/>
  <c r="M89" i="5" a="1"/>
  <c r="M89" i="5" s="1"/>
  <c r="O10" i="5"/>
  <c r="M10" i="5" a="1"/>
  <c r="M10" i="5" s="1"/>
  <c r="O54" i="5"/>
  <c r="M54" i="5" a="1"/>
  <c r="M54" i="5" s="1"/>
  <c r="M16" i="5" a="1"/>
  <c r="M16" i="5" s="1"/>
  <c r="O16" i="5"/>
  <c r="M47" i="5" a="1"/>
  <c r="M47" i="5" s="1"/>
  <c r="O47" i="5"/>
  <c r="O41" i="5"/>
  <c r="M41" i="5" a="1"/>
  <c r="M41" i="5" s="1"/>
  <c r="M99" i="5" a="1"/>
  <c r="M99" i="5" s="1"/>
  <c r="O99" i="5"/>
  <c r="O52" i="5"/>
  <c r="M52" i="5" a="1"/>
  <c r="M52" i="5" s="1"/>
  <c r="O4" i="5"/>
  <c r="M4" i="5" a="1"/>
  <c r="M4" i="5" s="1"/>
  <c r="O74" i="5"/>
  <c r="M74" i="5" a="1"/>
  <c r="M74" i="5" s="1"/>
  <c r="O53" i="5"/>
  <c r="M53" i="5" a="1"/>
  <c r="M53" i="5" s="1"/>
  <c r="M62" i="5" a="1"/>
  <c r="M62" i="5" s="1"/>
  <c r="O62" i="5"/>
  <c r="O61" i="5"/>
  <c r="M61" i="5" a="1"/>
  <c r="M61" i="5" s="1"/>
  <c r="M29" i="5" a="1"/>
  <c r="M29" i="5" s="1"/>
  <c r="O29" i="5"/>
  <c r="O18" i="5"/>
  <c r="M18" i="5" a="1"/>
  <c r="M18" i="5" s="1"/>
  <c r="O70" i="5"/>
  <c r="M70" i="5" a="1"/>
  <c r="M70" i="5" s="1"/>
  <c r="O96" i="5"/>
  <c r="M96" i="5" a="1"/>
  <c r="M96" i="5" s="1"/>
  <c r="M75" i="5" a="1"/>
  <c r="M75" i="5" s="1"/>
  <c r="O75" i="5"/>
  <c r="O84" i="5"/>
  <c r="M84" i="5" a="1"/>
  <c r="M84" i="5" s="1"/>
  <c r="M44" i="5" a="1"/>
  <c r="M44" i="5" s="1"/>
  <c r="O44" i="5"/>
  <c r="M86" i="5" a="1"/>
  <c r="M86" i="5" s="1"/>
  <c r="O86" i="5"/>
  <c r="M24" i="5" a="1"/>
  <c r="M24" i="5" s="1"/>
  <c r="O24" i="5"/>
  <c r="M46" i="5" a="1"/>
  <c r="M46" i="5" s="1"/>
  <c r="O46" i="5"/>
  <c r="O65" i="5"/>
  <c r="M65" i="5" a="1"/>
  <c r="M65" i="5" s="1"/>
  <c r="M49" i="5" a="1"/>
  <c r="M49" i="5" s="1"/>
  <c r="O49" i="5"/>
  <c r="M7" i="5" a="1"/>
  <c r="M7" i="5" s="1"/>
  <c r="O7" i="5"/>
  <c r="O30" i="5"/>
  <c r="M30" i="5" a="1"/>
  <c r="M30" i="5" s="1"/>
  <c r="O19" i="5"/>
  <c r="M19" i="5" a="1"/>
  <c r="M19" i="5" s="1"/>
  <c r="M94" i="5" a="1"/>
  <c r="M94" i="5" s="1"/>
  <c r="O94" i="5"/>
  <c r="O56" i="5"/>
  <c r="M56" i="5" a="1"/>
  <c r="M56" i="5" s="1"/>
  <c r="M58" i="5" a="1"/>
  <c r="M58" i="5" s="1"/>
  <c r="O58" i="5"/>
  <c r="O80" i="5"/>
  <c r="M80" i="5" a="1"/>
  <c r="M80" i="5" s="1"/>
  <c r="O87" i="5"/>
  <c r="M87" i="5" a="1"/>
  <c r="M87" i="5" s="1"/>
  <c r="M59" i="5" a="1"/>
  <c r="M59" i="5" s="1"/>
  <c r="O59" i="5"/>
  <c r="M55" i="5" a="1"/>
  <c r="M55" i="5" s="1"/>
  <c r="O55" i="5"/>
  <c r="M38" i="5" a="1"/>
  <c r="M38" i="5" s="1"/>
  <c r="O38" i="5"/>
  <c r="O85" i="5"/>
  <c r="M85" i="5" a="1"/>
  <c r="M85" i="5" s="1"/>
  <c r="O14" i="5"/>
  <c r="M14" i="5" a="1"/>
  <c r="M14" i="5" s="1"/>
  <c r="M31" i="5" a="1"/>
  <c r="M31" i="5" s="1"/>
  <c r="O31" i="5"/>
  <c r="M36" i="5" a="1"/>
  <c r="M36" i="5" s="1"/>
  <c r="O36" i="5"/>
  <c r="M71" i="5" a="1"/>
  <c r="M71" i="5" s="1"/>
  <c r="O71" i="5"/>
  <c r="M48" i="5" a="1"/>
  <c r="M48" i="5" s="1"/>
  <c r="O48" i="5"/>
  <c r="M57" i="5" a="1"/>
  <c r="M57" i="5" s="1"/>
  <c r="O57" i="5"/>
  <c r="O63" i="5"/>
  <c r="M63" i="5" a="1"/>
  <c r="M63" i="5" s="1"/>
  <c r="O78" i="5"/>
  <c r="M78" i="5" a="1"/>
  <c r="M78" i="5" s="1"/>
  <c r="M2" i="5" a="1"/>
  <c r="M2" i="5" s="1"/>
  <c r="O2" i="5"/>
  <c r="O67" i="5"/>
  <c r="M67" i="5" a="1"/>
  <c r="M67" i="5" s="1"/>
  <c r="M90" i="5" a="1"/>
  <c r="M90" i="5" s="1"/>
  <c r="O90" i="5"/>
  <c r="M35" i="5" a="1"/>
  <c r="M35" i="5" s="1"/>
  <c r="O35" i="5"/>
  <c r="O76" i="5"/>
  <c r="M76" i="5" a="1"/>
  <c r="M76" i="5" s="1"/>
  <c r="M40" i="5" a="1"/>
  <c r="M40" i="5" s="1"/>
  <c r="O40" i="5"/>
  <c r="O8" i="5"/>
  <c r="M8" i="5" a="1"/>
  <c r="M8" i="5" s="1"/>
  <c r="O9" i="5"/>
  <c r="M9" i="5" a="1"/>
  <c r="M9" i="5" s="1"/>
  <c r="M15" i="5" a="1"/>
  <c r="M15" i="5" s="1"/>
  <c r="O15" i="5"/>
  <c r="M3" i="5" a="1"/>
  <c r="M3" i="5" s="1"/>
  <c r="O3" i="5"/>
  <c r="O17" i="5"/>
  <c r="M17" i="5" a="1"/>
  <c r="M17" i="5" s="1"/>
  <c r="O6" i="5"/>
  <c r="M6" i="5" a="1"/>
  <c r="M6" i="5" s="1"/>
  <c r="M42" i="5" a="1"/>
  <c r="M42" i="5" s="1"/>
  <c r="O42" i="5"/>
  <c r="M91" i="5" a="1"/>
  <c r="M91" i="5" s="1"/>
  <c r="O91" i="5"/>
  <c r="M82" i="5" a="1"/>
  <c r="M82" i="5" s="1"/>
  <c r="O82" i="5"/>
  <c r="O5" i="5"/>
  <c r="M5" i="5" a="1"/>
  <c r="M5" i="5" s="1"/>
  <c r="O92" i="5"/>
  <c r="M92" i="5" a="1"/>
  <c r="M92" i="5" s="1"/>
  <c r="M81" i="5" a="1"/>
  <c r="M81" i="5" s="1"/>
  <c r="O81" i="5"/>
  <c r="M25" i="5" a="1"/>
  <c r="M25" i="5" s="1"/>
  <c r="O25" i="5"/>
  <c r="O39" i="5"/>
  <c r="M39" i="5" a="1"/>
  <c r="M39" i="5" s="1"/>
  <c r="O28" i="5"/>
  <c r="M28" i="5" a="1"/>
  <c r="M28" i="5" s="1"/>
  <c r="M64" i="5" a="1"/>
  <c r="M64" i="5" s="1"/>
  <c r="O64" i="5"/>
  <c r="M93" i="5" a="1"/>
  <c r="M93" i="5" s="1"/>
  <c r="O93" i="5"/>
  <c r="O45" i="5"/>
  <c r="M45" i="5" a="1"/>
  <c r="M45" i="5" s="1"/>
  <c r="O21" i="5"/>
  <c r="M21" i="5" a="1"/>
  <c r="M21" i="5" s="1"/>
  <c r="M68" i="5" a="1"/>
  <c r="M68" i="5" s="1"/>
  <c r="O68" i="5"/>
  <c r="M33" i="5" a="1"/>
  <c r="M33" i="5" s="1"/>
  <c r="O33" i="5"/>
  <c r="M79" i="5" a="1"/>
  <c r="M79" i="5" s="1"/>
  <c r="O79" i="5"/>
  <c r="O83" i="5"/>
  <c r="M83" i="5" a="1"/>
  <c r="M83" i="5" s="1"/>
  <c r="M88" i="5" a="1"/>
  <c r="M88" i="5" s="1"/>
  <c r="O88" i="5"/>
  <c r="M77" i="5" a="1"/>
  <c r="M77" i="5" s="1"/>
  <c r="O77" i="5"/>
  <c r="M26" i="5" a="1"/>
  <c r="M26" i="5" s="1"/>
  <c r="O26" i="5"/>
  <c r="M37" i="5" a="1"/>
  <c r="M37" i="5" s="1"/>
  <c r="O37" i="5"/>
  <c r="M13" i="5" a="1"/>
  <c r="M13" i="5" s="1"/>
  <c r="O13" i="5"/>
  <c r="M97" i="5" a="1"/>
  <c r="M97" i="5" s="1"/>
  <c r="O97" i="5"/>
  <c r="M27" i="5" a="1"/>
  <c r="M27" i="5" s="1"/>
  <c r="O27" i="5"/>
  <c r="M69" i="5" a="1"/>
  <c r="M69" i="5" s="1"/>
  <c r="O69" i="5"/>
  <c r="M51" i="5" a="1"/>
  <c r="M51" i="5" s="1"/>
  <c r="O51" i="5"/>
  <c r="O50" i="5"/>
  <c r="M50" i="5" a="1"/>
  <c r="M50" i="5" s="1"/>
  <c r="O43" i="5"/>
  <c r="M43" i="5" a="1"/>
  <c r="M43" i="5" s="1"/>
  <c r="O32" i="5"/>
  <c r="M32" i="5" a="1"/>
  <c r="M32" i="5" s="1"/>
  <c r="O23" i="5"/>
  <c r="M23" i="5" a="1"/>
  <c r="M23" i="5" s="1"/>
  <c r="O98" i="5"/>
  <c r="M98" i="5" a="1"/>
  <c r="M98" i="5" s="1"/>
  <c r="M66" i="5" a="1"/>
  <c r="M66" i="5" s="1"/>
  <c r="O66" i="5"/>
  <c r="M11" i="5" a="1"/>
  <c r="M11" i="5" s="1"/>
  <c r="O11" i="5"/>
  <c r="M60" i="5" a="1"/>
  <c r="M60" i="5" s="1"/>
  <c r="O60" i="5"/>
  <c r="M22" i="5" a="1"/>
  <c r="M22" i="5" s="1"/>
  <c r="O22" i="5"/>
  <c r="O12" i="5"/>
  <c r="M12" i="5" a="1"/>
  <c r="M12" i="5" s="1"/>
  <c r="M73" i="5" a="1"/>
  <c r="M73" i="5" s="1"/>
  <c r="O73" i="5"/>
  <c r="M20" i="5" a="1"/>
  <c r="M20" i="5" s="1"/>
  <c r="O20" i="5"/>
  <c r="M72" i="5" a="1"/>
  <c r="M72" i="5" s="1"/>
  <c r="O72" i="5"/>
  <c r="X69" i="4"/>
  <c r="AH91" i="4"/>
  <c r="AH88" i="4"/>
  <c r="AH74" i="4"/>
  <c r="AH87" i="4"/>
  <c r="AH93" i="4"/>
  <c r="AH8" i="4"/>
  <c r="AH62" i="4"/>
  <c r="AH102" i="4"/>
  <c r="AH5" i="4"/>
  <c r="AH49" i="4"/>
  <c r="AH101" i="4"/>
  <c r="AH75" i="4"/>
  <c r="AH80" i="4"/>
  <c r="AH90" i="4"/>
  <c r="AH15" i="4"/>
  <c r="AH7" i="4"/>
  <c r="AH4" i="4"/>
  <c r="E55" i="5" a="1"/>
  <c r="E55" i="5" s="1"/>
  <c r="N55" i="5" s="1" a="1"/>
  <c r="N55" i="5" s="1"/>
  <c r="P55" i="5"/>
  <c r="Q55" i="5"/>
  <c r="E73" i="5" a="1"/>
  <c r="E73" i="5" s="1"/>
  <c r="N73" i="5" s="1" a="1"/>
  <c r="N73" i="5" s="1"/>
  <c r="P73" i="5"/>
  <c r="Q73" i="5"/>
  <c r="E3" i="5" a="1"/>
  <c r="E3" i="5" s="1"/>
  <c r="N3" i="5" s="1" a="1"/>
  <c r="N3" i="5" s="1"/>
  <c r="Q3" i="5"/>
  <c r="P3" i="5"/>
  <c r="E44" i="5" a="1"/>
  <c r="E44" i="5" s="1"/>
  <c r="Q44" i="5"/>
  <c r="P44" i="5"/>
  <c r="E62" i="5" a="1"/>
  <c r="E62" i="5" s="1"/>
  <c r="N62" i="5" s="1" a="1"/>
  <c r="N62" i="5" s="1"/>
  <c r="Q62" i="5"/>
  <c r="P62" i="5"/>
  <c r="E92" i="5" a="1"/>
  <c r="E92" i="5" s="1"/>
  <c r="P92" i="5"/>
  <c r="Q92" i="5"/>
  <c r="E78" i="5" a="1"/>
  <c r="E78" i="5" s="1"/>
  <c r="N78" i="5" s="1" a="1"/>
  <c r="N78" i="5" s="1"/>
  <c r="P78" i="5"/>
  <c r="Q78" i="5"/>
  <c r="E89" i="5" a="1"/>
  <c r="E89" i="5" s="1"/>
  <c r="N89" i="5" s="1" a="1"/>
  <c r="N89" i="5" s="1"/>
  <c r="Q89" i="5"/>
  <c r="P89" i="5"/>
  <c r="E2" i="5" a="1"/>
  <c r="E2" i="5" s="1"/>
  <c r="P2" i="5"/>
  <c r="Q2" i="5"/>
  <c r="E65" i="5" a="1"/>
  <c r="E65" i="5" s="1"/>
  <c r="N65" i="5" s="1" a="1"/>
  <c r="N65" i="5" s="1"/>
  <c r="Q65" i="5"/>
  <c r="P65" i="5"/>
  <c r="P77" i="5"/>
  <c r="Q77" i="5"/>
  <c r="E57" i="5" a="1"/>
  <c r="E57" i="5" s="1"/>
  <c r="N57" i="5" s="1" a="1"/>
  <c r="N57" i="5" s="1"/>
  <c r="P57" i="5"/>
  <c r="Q57" i="5"/>
  <c r="E4" i="5" a="1"/>
  <c r="E4" i="5" s="1"/>
  <c r="P4" i="5"/>
  <c r="Q4" i="5"/>
  <c r="E23" i="5" a="1"/>
  <c r="E23" i="5" s="1"/>
  <c r="N23" i="5" s="1" a="1"/>
  <c r="N23" i="5" s="1"/>
  <c r="Q23" i="5"/>
  <c r="P23" i="5"/>
  <c r="E45" i="5" a="1"/>
  <c r="E45" i="5" s="1"/>
  <c r="N45" i="5" s="1" a="1"/>
  <c r="N45" i="5" s="1"/>
  <c r="Q45" i="5"/>
  <c r="P45" i="5"/>
  <c r="E70" i="5" a="1"/>
  <c r="E70" i="5" s="1"/>
  <c r="N70" i="5" s="1" a="1"/>
  <c r="N70" i="5" s="1"/>
  <c r="P70" i="5"/>
  <c r="Q70" i="5"/>
  <c r="E14" i="5" a="1"/>
  <c r="E14" i="5" s="1"/>
  <c r="N14" i="5" s="1" a="1"/>
  <c r="N14" i="5" s="1"/>
  <c r="Q14" i="5"/>
  <c r="P14" i="5"/>
  <c r="E56" i="5" a="1"/>
  <c r="E56" i="5" s="1"/>
  <c r="P56" i="5"/>
  <c r="Q56" i="5"/>
  <c r="E21" i="5" a="1"/>
  <c r="E21" i="5" s="1"/>
  <c r="Q21" i="5"/>
  <c r="P21" i="5"/>
  <c r="E66" i="5" a="1"/>
  <c r="E66" i="5" s="1"/>
  <c r="N66" i="5" s="1" a="1"/>
  <c r="N66" i="5" s="1"/>
  <c r="Q66" i="5"/>
  <c r="P66" i="5"/>
  <c r="E67" i="5" a="1"/>
  <c r="E67" i="5" s="1"/>
  <c r="N67" i="5" s="1" a="1"/>
  <c r="N67" i="5" s="1"/>
  <c r="Q67" i="5"/>
  <c r="P67" i="5"/>
  <c r="E9" i="5" a="1"/>
  <c r="E9" i="5" s="1"/>
  <c r="P9" i="5"/>
  <c r="Q9" i="5"/>
  <c r="E40" i="5" a="1"/>
  <c r="E40" i="5" s="1"/>
  <c r="Q40" i="5"/>
  <c r="P40" i="5"/>
  <c r="E88" i="5" a="1"/>
  <c r="E88" i="5" s="1"/>
  <c r="Q88" i="5"/>
  <c r="P88" i="5"/>
  <c r="E36" i="5" a="1"/>
  <c r="E36" i="5" s="1"/>
  <c r="N36" i="5" s="1" a="1"/>
  <c r="N36" i="5" s="1"/>
  <c r="Q36" i="5"/>
  <c r="P36" i="5"/>
  <c r="E53" i="5" a="1"/>
  <c r="E53" i="5" s="1"/>
  <c r="N53" i="5" s="1" a="1"/>
  <c r="N53" i="5" s="1"/>
  <c r="P53" i="5"/>
  <c r="Q53" i="5"/>
  <c r="E19" i="5" a="1"/>
  <c r="E19" i="5" s="1"/>
  <c r="Q19" i="5"/>
  <c r="P19" i="5"/>
  <c r="E87" i="5" a="1"/>
  <c r="E87" i="5" s="1"/>
  <c r="N87" i="5" s="1" a="1"/>
  <c r="N87" i="5" s="1"/>
  <c r="Q87" i="5"/>
  <c r="P87" i="5"/>
  <c r="E99" i="5" a="1"/>
  <c r="E99" i="5" s="1"/>
  <c r="P99" i="5"/>
  <c r="Q99" i="5"/>
  <c r="E80" i="5" a="1"/>
  <c r="E80" i="5" s="1"/>
  <c r="N80" i="5" s="1" a="1"/>
  <c r="N80" i="5" s="1"/>
  <c r="Q80" i="5"/>
  <c r="P80" i="5"/>
  <c r="E26" i="5" a="1"/>
  <c r="E26" i="5" s="1"/>
  <c r="N26" i="5" s="1" a="1"/>
  <c r="N26" i="5" s="1"/>
  <c r="P26" i="5"/>
  <c r="Q26" i="5"/>
  <c r="E96" i="5" a="1"/>
  <c r="E96" i="5" s="1"/>
  <c r="N96" i="5" s="1" a="1"/>
  <c r="N96" i="5" s="1"/>
  <c r="P96" i="5"/>
  <c r="Q96" i="5"/>
  <c r="E43" i="5" a="1"/>
  <c r="E43" i="5" s="1"/>
  <c r="Q43" i="5"/>
  <c r="P43" i="5"/>
  <c r="E31" i="5" a="1"/>
  <c r="E31" i="5" s="1"/>
  <c r="P31" i="5"/>
  <c r="Q31" i="5"/>
  <c r="E46" i="5" a="1"/>
  <c r="E46" i="5" s="1"/>
  <c r="N46" i="5" s="1" a="1"/>
  <c r="N46" i="5" s="1"/>
  <c r="Q46" i="5"/>
  <c r="P46" i="5"/>
  <c r="E5" i="5" a="1"/>
  <c r="E5" i="5" s="1"/>
  <c r="P5" i="5"/>
  <c r="Q5" i="5"/>
  <c r="E35" i="5" a="1"/>
  <c r="E35" i="5" s="1"/>
  <c r="P35" i="5"/>
  <c r="Q35" i="5"/>
  <c r="E27" i="5" a="1"/>
  <c r="E27" i="5" s="1"/>
  <c r="N27" i="5" s="1" a="1"/>
  <c r="N27" i="5" s="1"/>
  <c r="P27" i="5"/>
  <c r="Q27" i="5"/>
  <c r="P75" i="5"/>
  <c r="Q75" i="5"/>
  <c r="E58" i="5" a="1"/>
  <c r="E58" i="5" s="1"/>
  <c r="N58" i="5" s="1" a="1"/>
  <c r="N58" i="5" s="1"/>
  <c r="Q58" i="5"/>
  <c r="P58" i="5"/>
  <c r="E85" i="5" a="1"/>
  <c r="E85" i="5" s="1"/>
  <c r="Q85" i="5"/>
  <c r="P85" i="5"/>
  <c r="E47" i="5" a="1"/>
  <c r="E47" i="5" s="1"/>
  <c r="Q47" i="5"/>
  <c r="P47" i="5"/>
  <c r="E51" i="5" a="1"/>
  <c r="E51" i="5" s="1"/>
  <c r="P51" i="5"/>
  <c r="Q51" i="5"/>
  <c r="E13" i="5" a="1"/>
  <c r="E13" i="5" s="1"/>
  <c r="N13" i="5" s="1" a="1"/>
  <c r="N13" i="5" s="1"/>
  <c r="P13" i="5"/>
  <c r="Q13" i="5"/>
  <c r="P30" i="5"/>
  <c r="Q30" i="5"/>
  <c r="P61" i="5"/>
  <c r="Q61" i="5"/>
  <c r="P12" i="5"/>
  <c r="Q12" i="5"/>
  <c r="E48" i="5" a="1"/>
  <c r="E48" i="5" s="1"/>
  <c r="N48" i="5" s="1" a="1"/>
  <c r="N48" i="5" s="1"/>
  <c r="P48" i="5"/>
  <c r="Q48" i="5"/>
  <c r="E15" i="5" a="1"/>
  <c r="E15" i="5" s="1"/>
  <c r="N15" i="5" s="1" a="1"/>
  <c r="N15" i="5" s="1"/>
  <c r="Q15" i="5"/>
  <c r="P15" i="5"/>
  <c r="P98" i="5"/>
  <c r="Q98" i="5"/>
  <c r="E50" i="5" a="1"/>
  <c r="E50" i="5" s="1"/>
  <c r="P50" i="5"/>
  <c r="Q50" i="5"/>
  <c r="E25" i="5" a="1"/>
  <c r="E25" i="5" s="1"/>
  <c r="Q25" i="5"/>
  <c r="P25" i="5"/>
  <c r="E69" i="5" a="1"/>
  <c r="E69" i="5" s="1"/>
  <c r="Q69" i="5"/>
  <c r="P69" i="5"/>
  <c r="E95" i="5" a="1"/>
  <c r="E95" i="5" s="1"/>
  <c r="N95" i="5" s="1" a="1"/>
  <c r="N95" i="5" s="1"/>
  <c r="P95" i="5"/>
  <c r="Q95" i="5"/>
  <c r="P74" i="5"/>
  <c r="Q74" i="5"/>
  <c r="E34" i="5" a="1"/>
  <c r="E34" i="5" s="1"/>
  <c r="N34" i="5" s="1" a="1"/>
  <c r="N34" i="5" s="1"/>
  <c r="P34" i="5"/>
  <c r="Q34" i="5"/>
  <c r="E97" i="5" a="1"/>
  <c r="E97" i="5" s="1"/>
  <c r="N97" i="5" s="1" a="1"/>
  <c r="N97" i="5" s="1"/>
  <c r="P97" i="5"/>
  <c r="Q97" i="5"/>
  <c r="Q37" i="5"/>
  <c r="P37" i="5"/>
  <c r="E59" i="5" a="1"/>
  <c r="E59" i="5" s="1"/>
  <c r="N59" i="5" s="1" a="1"/>
  <c r="N59" i="5" s="1"/>
  <c r="Q59" i="5"/>
  <c r="P59" i="5"/>
  <c r="Q94" i="5"/>
  <c r="P94" i="5"/>
  <c r="Q81" i="5"/>
  <c r="P81" i="5"/>
  <c r="E17" i="5" a="1"/>
  <c r="E17" i="5" s="1"/>
  <c r="P17" i="5"/>
  <c r="Q17" i="5"/>
  <c r="E6" i="5" a="1"/>
  <c r="E6" i="5" s="1"/>
  <c r="N6" i="5" s="1" a="1"/>
  <c r="N6" i="5" s="1"/>
  <c r="P6" i="5"/>
  <c r="Q6" i="5"/>
  <c r="E32" i="5" a="1"/>
  <c r="E32" i="5" s="1"/>
  <c r="P32" i="5"/>
  <c r="Q32" i="5"/>
  <c r="E39" i="5" a="1"/>
  <c r="E39" i="5" s="1"/>
  <c r="Q39" i="5"/>
  <c r="P39" i="5"/>
  <c r="P60" i="5"/>
  <c r="Q60" i="5"/>
  <c r="E20" i="5" a="1"/>
  <c r="E20" i="5" s="1"/>
  <c r="Q20" i="5"/>
  <c r="P20" i="5"/>
  <c r="E24" i="5" a="1"/>
  <c r="E24" i="5" s="1"/>
  <c r="N24" i="5" s="1" a="1"/>
  <c r="N24" i="5" s="1"/>
  <c r="Q24" i="5"/>
  <c r="P24" i="5"/>
  <c r="E33" i="5" a="1"/>
  <c r="E33" i="5" s="1"/>
  <c r="P33" i="5"/>
  <c r="Q33" i="5"/>
  <c r="Q63" i="5"/>
  <c r="P63" i="5"/>
  <c r="E93" i="5" a="1"/>
  <c r="E93" i="5" s="1"/>
  <c r="N93" i="5" s="1" a="1"/>
  <c r="N93" i="5" s="1"/>
  <c r="P93" i="5"/>
  <c r="Q93" i="5"/>
  <c r="E91" i="5" a="1"/>
  <c r="E91" i="5" s="1"/>
  <c r="N91" i="5" s="1" a="1"/>
  <c r="N91" i="5" s="1"/>
  <c r="Q91" i="5"/>
  <c r="P91" i="5"/>
  <c r="E52" i="5" a="1"/>
  <c r="E52" i="5" s="1"/>
  <c r="P52" i="5"/>
  <c r="Q52" i="5"/>
  <c r="Q41" i="5"/>
  <c r="P41" i="5"/>
  <c r="E22" i="5" a="1"/>
  <c r="E22" i="5" s="1"/>
  <c r="Q22" i="5"/>
  <c r="P22" i="5"/>
  <c r="P49" i="5"/>
  <c r="Q49" i="5"/>
  <c r="E71" i="5" a="1"/>
  <c r="E71" i="5" s="1"/>
  <c r="P71" i="5"/>
  <c r="Q71" i="5"/>
  <c r="E79" i="5" a="1"/>
  <c r="E79" i="5" s="1"/>
  <c r="P79" i="5"/>
  <c r="Q79" i="5"/>
  <c r="E16" i="5" a="1"/>
  <c r="E16" i="5" s="1"/>
  <c r="N16" i="5" s="1" a="1"/>
  <c r="N16" i="5" s="1"/>
  <c r="P16" i="5"/>
  <c r="Q16" i="5"/>
  <c r="P10" i="5"/>
  <c r="Q10" i="5"/>
  <c r="P38" i="5"/>
  <c r="Q38" i="5"/>
  <c r="E28" i="5" a="1"/>
  <c r="E28" i="5" s="1"/>
  <c r="N28" i="5" s="1" a="1"/>
  <c r="N28" i="5" s="1"/>
  <c r="P28" i="5"/>
  <c r="Q28" i="5"/>
  <c r="E54" i="5" a="1"/>
  <c r="E54" i="5" s="1"/>
  <c r="P54" i="5"/>
  <c r="Q54" i="5"/>
  <c r="P83" i="5"/>
  <c r="Q83" i="5"/>
  <c r="P82" i="5"/>
  <c r="Q82" i="5"/>
  <c r="Q42" i="5"/>
  <c r="P42" i="5"/>
  <c r="E68" i="5" a="1"/>
  <c r="E68" i="5" s="1"/>
  <c r="Q68" i="5"/>
  <c r="P68" i="5"/>
  <c r="E29" i="5" a="1"/>
  <c r="E29" i="5" s="1"/>
  <c r="N29" i="5" s="1" a="1"/>
  <c r="N29" i="5" s="1"/>
  <c r="P29" i="5"/>
  <c r="Q29" i="5"/>
  <c r="E8" i="5" a="1"/>
  <c r="E8" i="5" s="1"/>
  <c r="N8" i="5" s="1" a="1"/>
  <c r="N8" i="5" s="1"/>
  <c r="P8" i="5"/>
  <c r="Q8" i="5"/>
  <c r="E72" i="5" a="1"/>
  <c r="E72" i="5" s="1"/>
  <c r="Q72" i="5"/>
  <c r="P72" i="5"/>
  <c r="E76" i="5" a="1"/>
  <c r="E76" i="5" s="1"/>
  <c r="P76" i="5"/>
  <c r="Q76" i="5"/>
  <c r="E18" i="5" a="1"/>
  <c r="E18" i="5" s="1"/>
  <c r="Q18" i="5"/>
  <c r="P18" i="5"/>
  <c r="E64" i="5" a="1"/>
  <c r="E64" i="5" s="1"/>
  <c r="N64" i="5" s="1" a="1"/>
  <c r="N64" i="5" s="1"/>
  <c r="Q64" i="5"/>
  <c r="P64" i="5"/>
  <c r="E90" i="5" a="1"/>
  <c r="E90" i="5" s="1"/>
  <c r="Q90" i="5"/>
  <c r="P90" i="5"/>
  <c r="E7" i="5" a="1"/>
  <c r="E7" i="5" s="1"/>
  <c r="N7" i="5" s="1" a="1"/>
  <c r="N7" i="5" s="1"/>
  <c r="P7" i="5"/>
  <c r="Q7" i="5"/>
  <c r="E11" i="5" a="1"/>
  <c r="E11" i="5" s="1"/>
  <c r="N11" i="5" s="1" a="1"/>
  <c r="N11" i="5" s="1"/>
  <c r="P11" i="5"/>
  <c r="Q11" i="5"/>
  <c r="E84" i="5" a="1"/>
  <c r="E84" i="5" s="1"/>
  <c r="N84" i="5" s="1" a="1"/>
  <c r="N84" i="5" s="1"/>
  <c r="P84" i="5"/>
  <c r="Q84" i="5"/>
  <c r="E86" i="5" a="1"/>
  <c r="E86" i="5" s="1"/>
  <c r="N86" i="5" s="1" a="1"/>
  <c r="N86" i="5" s="1"/>
  <c r="Q86" i="5"/>
  <c r="P86" i="5"/>
  <c r="I46" i="5" a="1"/>
  <c r="I46" i="5" s="1"/>
  <c r="I41" i="5" a="1"/>
  <c r="I41" i="5" s="1"/>
  <c r="I18" i="5" a="1"/>
  <c r="I18" i="5" s="1"/>
  <c r="I35" i="5" a="1"/>
  <c r="I35" i="5" s="1"/>
  <c r="I83" i="5" a="1"/>
  <c r="I83" i="5" s="1"/>
  <c r="I68" i="5" a="1"/>
  <c r="I68" i="5" s="1"/>
  <c r="I60" i="5" a="1"/>
  <c r="I60" i="5" s="1"/>
  <c r="I63" i="5" a="1"/>
  <c r="I63" i="5" s="1"/>
  <c r="I19" i="5" a="1"/>
  <c r="I19" i="5" s="1"/>
  <c r="I90" i="5" a="1"/>
  <c r="I90" i="5" s="1"/>
  <c r="I17" i="5" a="1"/>
  <c r="I17" i="5" s="1"/>
  <c r="I38" i="5" a="1"/>
  <c r="I38" i="5" s="1"/>
  <c r="I82" i="5" a="1"/>
  <c r="I82" i="5" s="1"/>
  <c r="I39" i="5" a="1"/>
  <c r="I39" i="5" s="1"/>
  <c r="E61" i="5" a="1"/>
  <c r="E61" i="5" s="1"/>
  <c r="N61" i="5" s="1" a="1"/>
  <c r="N61" i="5" s="1"/>
  <c r="E10" i="5" a="1"/>
  <c r="E10" i="5" s="1"/>
  <c r="N10" i="5" s="1" a="1"/>
  <c r="N10" i="5" s="1"/>
  <c r="E82" i="5" a="1"/>
  <c r="E82" i="5" s="1"/>
  <c r="N82" i="5" s="1" a="1"/>
  <c r="N82" i="5" s="1"/>
  <c r="E74" i="5" a="1"/>
  <c r="E74" i="5" s="1"/>
  <c r="N74" i="5" s="1" a="1"/>
  <c r="N74" i="5" s="1"/>
  <c r="E49" i="5" a="1"/>
  <c r="E49" i="5" s="1"/>
  <c r="N49" i="5" s="1" a="1"/>
  <c r="N49" i="5" s="1"/>
  <c r="E41" i="5" a="1"/>
  <c r="E41" i="5" s="1"/>
  <c r="E75" i="5" a="1"/>
  <c r="E75" i="5" s="1"/>
  <c r="E81" i="5" a="1"/>
  <c r="E81" i="5" s="1"/>
  <c r="E12" i="5" a="1"/>
  <c r="E12" i="5" s="1"/>
  <c r="E98" i="5" a="1"/>
  <c r="E98" i="5" s="1"/>
  <c r="N98" i="5" s="1" a="1"/>
  <c r="N98" i="5" s="1"/>
  <c r="E83" i="5" a="1"/>
  <c r="E83" i="5" s="1"/>
  <c r="E42" i="5" a="1"/>
  <c r="E42" i="5" s="1"/>
  <c r="N42" i="5" s="1" a="1"/>
  <c r="N42" i="5" s="1"/>
  <c r="E37" i="5" a="1"/>
  <c r="E37" i="5" s="1"/>
  <c r="N37" i="5" s="1" a="1"/>
  <c r="N37" i="5" s="1"/>
  <c r="E77" i="5" a="1"/>
  <c r="E77" i="5" s="1"/>
  <c r="N77" i="5" s="1" a="1"/>
  <c r="N77" i="5" s="1"/>
  <c r="E38" i="5" a="1"/>
  <c r="E38" i="5" s="1"/>
  <c r="E63" i="5" a="1"/>
  <c r="E63" i="5" s="1"/>
  <c r="E94" i="5" a="1"/>
  <c r="E94" i="5" s="1"/>
  <c r="E30" i="5" a="1"/>
  <c r="E30" i="5" s="1"/>
  <c r="N30" i="5" s="1" a="1"/>
  <c r="N30" i="5" s="1"/>
  <c r="E60" i="5" a="1"/>
  <c r="E60" i="5" s="1"/>
  <c r="N60" i="5" s="1" a="1"/>
  <c r="N60" i="5" s="1"/>
  <c r="X37" i="4"/>
  <c r="AH37" i="4"/>
  <c r="AH97" i="4"/>
  <c r="AH95" i="4"/>
  <c r="X11" i="4"/>
  <c r="X105" i="4" s="1"/>
  <c r="AH11" i="4"/>
  <c r="AH32" i="4"/>
  <c r="AH70" i="4"/>
  <c r="AH82" i="4"/>
  <c r="X106" i="4"/>
  <c r="AH51" i="4"/>
  <c r="AH17" i="4"/>
  <c r="AH86" i="4"/>
  <c r="X81" i="4"/>
  <c r="AH81" i="4"/>
  <c r="AH12" i="4"/>
  <c r="AH84" i="4"/>
  <c r="AH39" i="4"/>
  <c r="X55" i="4"/>
  <c r="AH55" i="4"/>
  <c r="AH36" i="4"/>
  <c r="AH26" i="4"/>
  <c r="X67" i="4"/>
  <c r="AH67" i="4"/>
  <c r="AH73" i="4"/>
  <c r="AH77" i="4"/>
  <c r="AH42" i="4"/>
  <c r="AH34" i="4"/>
  <c r="AH19" i="4"/>
  <c r="AH63" i="4"/>
  <c r="AH60" i="4"/>
  <c r="AH65" i="4"/>
  <c r="AH98" i="4"/>
  <c r="AH27" i="4"/>
  <c r="AH40" i="4"/>
  <c r="AH6" i="4"/>
  <c r="AH96" i="4"/>
  <c r="AH46" i="4"/>
  <c r="AH41" i="4"/>
  <c r="AH59" i="4"/>
  <c r="X79" i="4"/>
  <c r="AH79" i="4"/>
  <c r="Y106" i="4"/>
  <c r="Y105" i="4"/>
  <c r="AH53" i="4"/>
  <c r="N32" i="5" l="1" a="1"/>
  <c r="N32" i="5" s="1"/>
  <c r="N17" i="5" a="1"/>
  <c r="N17" i="5" s="1"/>
  <c r="N90" i="5" a="1"/>
  <c r="N90" i="5" s="1"/>
  <c r="N99" i="5" a="1"/>
  <c r="N99" i="5" s="1"/>
  <c r="N51" i="5" a="1"/>
  <c r="N51" i="5" s="1"/>
  <c r="R68" i="5"/>
  <c r="N68" i="5" a="1"/>
  <c r="N68" i="5" s="1"/>
  <c r="N4" i="5" a="1"/>
  <c r="N4" i="5" s="1"/>
  <c r="N79" i="5" a="1"/>
  <c r="N79" i="5" s="1"/>
  <c r="N5" i="5" a="1"/>
  <c r="N5" i="5" s="1"/>
  <c r="N18" i="5" a="1"/>
  <c r="N18" i="5" s="1"/>
  <c r="N33" i="5" a="1"/>
  <c r="N33" i="5" s="1"/>
  <c r="N71" i="5" a="1"/>
  <c r="N71" i="5" s="1"/>
  <c r="N92" i="5" a="1"/>
  <c r="N92" i="5" s="1"/>
  <c r="N50" i="5" a="1"/>
  <c r="N50" i="5" s="1"/>
  <c r="N12" i="5" a="1"/>
  <c r="N12" i="5" s="1"/>
  <c r="N22" i="5" a="1"/>
  <c r="N22" i="5" s="1"/>
  <c r="N20" i="5" a="1"/>
  <c r="N20" i="5" s="1"/>
  <c r="N47" i="5" a="1"/>
  <c r="N47" i="5" s="1"/>
  <c r="N19" i="5" a="1"/>
  <c r="N19" i="5" s="1"/>
  <c r="N88" i="5" a="1"/>
  <c r="N88" i="5" s="1"/>
  <c r="N40" i="5" a="1"/>
  <c r="N40" i="5" s="1"/>
  <c r="N69" i="5" a="1"/>
  <c r="N69" i="5" s="1"/>
  <c r="N25" i="5" a="1"/>
  <c r="N25" i="5" s="1"/>
  <c r="N83" i="5" a="1"/>
  <c r="N83" i="5" s="1"/>
  <c r="N81" i="5" a="1"/>
  <c r="N81" i="5" s="1"/>
  <c r="N54" i="5" a="1"/>
  <c r="N54" i="5" s="1"/>
  <c r="N31" i="5" a="1"/>
  <c r="N31" i="5" s="1"/>
  <c r="N63" i="5" a="1"/>
  <c r="N63" i="5" s="1"/>
  <c r="N9" i="5" a="1"/>
  <c r="N9" i="5" s="1"/>
  <c r="N75" i="5" a="1"/>
  <c r="N75" i="5" s="1"/>
  <c r="N76" i="5" a="1"/>
  <c r="N76" i="5" s="1"/>
  <c r="N21" i="5" a="1"/>
  <c r="N21" i="5" s="1"/>
  <c r="N44" i="5" a="1"/>
  <c r="N44" i="5" s="1"/>
  <c r="N94" i="5" a="1"/>
  <c r="N94" i="5" s="1"/>
  <c r="R35" i="5"/>
  <c r="S35" i="5" s="1"/>
  <c r="N35" i="5" a="1"/>
  <c r="N35" i="5" s="1"/>
  <c r="N41" i="5" a="1"/>
  <c r="N41" i="5" s="1"/>
  <c r="N43" i="5" a="1"/>
  <c r="N43" i="5" s="1"/>
  <c r="R2" i="5"/>
  <c r="S2" i="5" s="1"/>
  <c r="N2" i="5" a="1"/>
  <c r="N2" i="5" s="1"/>
  <c r="N38" i="5" a="1"/>
  <c r="N38" i="5" s="1"/>
  <c r="N85" i="5" a="1"/>
  <c r="N85" i="5" s="1"/>
  <c r="N72" i="5" a="1"/>
  <c r="N72" i="5" s="1"/>
  <c r="N52" i="5" a="1"/>
  <c r="N52" i="5" s="1"/>
  <c r="N39" i="5" a="1"/>
  <c r="N39" i="5" s="1"/>
  <c r="N56" i="5" a="1"/>
  <c r="N56" i="5" s="1"/>
  <c r="R82" i="5"/>
  <c r="S82" i="5"/>
  <c r="R87" i="5"/>
  <c r="S87" i="5" s="1"/>
  <c r="R47" i="5"/>
  <c r="R67" i="5"/>
  <c r="S67" i="5" s="1"/>
  <c r="R55" i="5"/>
  <c r="S55" i="5" s="1"/>
  <c r="R20" i="5"/>
  <c r="S20" i="5" s="1"/>
  <c r="R30" i="5"/>
  <c r="S30" i="5" s="1"/>
  <c r="R34" i="5"/>
  <c r="S34" i="5" s="1"/>
  <c r="S68" i="5"/>
  <c r="R69" i="5"/>
  <c r="S69" i="5" s="1"/>
  <c r="R27" i="5"/>
  <c r="S27" i="5" s="1"/>
  <c r="R5" i="5"/>
  <c r="S5" i="5" s="1"/>
  <c r="R25" i="5"/>
  <c r="S25" i="5" s="1"/>
  <c r="R3" i="5"/>
  <c r="S3" i="5" s="1"/>
  <c r="R33" i="5"/>
  <c r="S33" i="5" s="1"/>
  <c r="R57" i="5"/>
  <c r="S57" i="5" s="1"/>
  <c r="S47" i="5"/>
  <c r="R23" i="5"/>
  <c r="S23" i="5" s="1"/>
  <c r="R89" i="5"/>
  <c r="S89" i="5" s="1"/>
  <c r="R21" i="5"/>
  <c r="S21" i="5" s="1"/>
  <c r="R54" i="5"/>
  <c r="S54" i="5" s="1"/>
  <c r="R53" i="5"/>
  <c r="S53" i="5" s="1"/>
  <c r="R60" i="5"/>
  <c r="S60" i="5" s="1"/>
  <c r="R98" i="5"/>
  <c r="S98" i="5" s="1"/>
  <c r="R65" i="5"/>
  <c r="S65" i="5" s="1"/>
  <c r="R99" i="5"/>
  <c r="S99" i="5" s="1"/>
  <c r="R78" i="5"/>
  <c r="S78" i="5" s="1"/>
  <c r="R24" i="5"/>
  <c r="S24" i="5" s="1"/>
  <c r="R12" i="5"/>
  <c r="S12" i="5" s="1"/>
  <c r="R81" i="5"/>
  <c r="S81" i="5" s="1"/>
  <c r="R80" i="5"/>
  <c r="S80" i="5" s="1"/>
  <c r="R38" i="5"/>
  <c r="S38" i="5" s="1"/>
  <c r="R86" i="5"/>
  <c r="S86" i="5" s="1"/>
  <c r="R36" i="5"/>
  <c r="S36" i="5" s="1"/>
  <c r="R52" i="5"/>
  <c r="S52" i="5" s="1"/>
  <c r="AB2" i="5"/>
  <c r="Z2" i="5"/>
  <c r="AB3" i="5"/>
  <c r="Z3" i="5"/>
  <c r="R92" i="5"/>
  <c r="S92" i="5" s="1"/>
  <c r="R85" i="5"/>
  <c r="S85" i="5" s="1"/>
  <c r="R88" i="5"/>
  <c r="S88" i="5" s="1"/>
  <c r="R94" i="5"/>
  <c r="S94" i="5" s="1"/>
  <c r="R11" i="5"/>
  <c r="S11" i="5" s="1"/>
  <c r="R43" i="5"/>
  <c r="S43" i="5" s="1"/>
  <c r="R45" i="5"/>
  <c r="S45" i="5" s="1"/>
  <c r="R17" i="5"/>
  <c r="S17" i="5" s="1"/>
  <c r="R50" i="5"/>
  <c r="S50" i="5" s="1"/>
  <c r="R97" i="5"/>
  <c r="S97" i="5" s="1"/>
  <c r="R28" i="5"/>
  <c r="S28" i="5" s="1"/>
  <c r="R91" i="5"/>
  <c r="S91" i="5" s="1"/>
  <c r="X2" i="5"/>
  <c r="V2" i="5"/>
  <c r="R63" i="5"/>
  <c r="S63" i="5" s="1"/>
  <c r="R72" i="5"/>
  <c r="S72" i="5" s="1"/>
  <c r="R14" i="5"/>
  <c r="S14" i="5" s="1"/>
  <c r="R19" i="5"/>
  <c r="S19" i="5" s="1"/>
  <c r="X3" i="5"/>
  <c r="V3" i="5"/>
  <c r="R58" i="5"/>
  <c r="S58" i="5" s="1"/>
  <c r="R66" i="5"/>
  <c r="S66" i="5" s="1"/>
  <c r="R61" i="5"/>
  <c r="S61" i="5" s="1"/>
  <c r="R31" i="5"/>
  <c r="S31" i="5" s="1"/>
  <c r="R8" i="5"/>
  <c r="S8" i="5" s="1"/>
  <c r="R29" i="5"/>
  <c r="S29" i="5" s="1"/>
  <c r="R9" i="5"/>
  <c r="S9" i="5" s="1"/>
  <c r="R32" i="5"/>
  <c r="S32" i="5" s="1"/>
  <c r="R4" i="5"/>
  <c r="R49" i="5"/>
  <c r="S49" i="5" s="1"/>
  <c r="R48" i="5"/>
  <c r="S48" i="5" s="1"/>
  <c r="R40" i="5"/>
  <c r="S40" i="5" s="1"/>
  <c r="R10" i="5"/>
  <c r="S10" i="5" s="1"/>
  <c r="R6" i="5"/>
  <c r="S6" i="5" s="1"/>
  <c r="R37" i="5"/>
  <c r="S37" i="5" s="1"/>
  <c r="R42" i="5"/>
  <c r="S42" i="5" s="1"/>
  <c r="R51" i="5"/>
  <c r="S51" i="5" s="1"/>
  <c r="R74" i="5"/>
  <c r="S74" i="5" s="1"/>
  <c r="R44" i="5"/>
  <c r="S44" i="5" s="1"/>
  <c r="R13" i="5"/>
  <c r="S13" i="5" s="1"/>
  <c r="R76" i="5"/>
  <c r="S76" i="5" s="1"/>
  <c r="R93" i="5"/>
  <c r="S93" i="5" s="1"/>
  <c r="R15" i="5"/>
  <c r="S15" i="5" s="1"/>
  <c r="R46" i="5"/>
  <c r="S46" i="5" s="1"/>
  <c r="R56" i="5"/>
  <c r="S56" i="5" s="1"/>
  <c r="R73" i="5"/>
  <c r="S73" i="5" s="1"/>
  <c r="R84" i="5"/>
  <c r="S84" i="5" s="1"/>
  <c r="R62" i="5"/>
  <c r="S62" i="5" s="1"/>
  <c r="R70" i="5"/>
  <c r="S70" i="5" s="1"/>
  <c r="R26" i="5"/>
  <c r="S26" i="5" s="1"/>
  <c r="R90" i="5"/>
  <c r="S90" i="5" s="1"/>
  <c r="R75" i="5"/>
  <c r="S75" i="5" s="1"/>
  <c r="R22" i="5"/>
  <c r="S22" i="5" s="1"/>
  <c r="R39" i="5"/>
  <c r="S39" i="5" s="1"/>
  <c r="R41" i="5"/>
  <c r="S41" i="5" s="1"/>
  <c r="R71" i="5"/>
  <c r="S71" i="5" s="1"/>
  <c r="R18" i="5"/>
  <c r="S18" i="5" s="1"/>
  <c r="R96" i="5"/>
  <c r="S96" i="5" s="1"/>
  <c r="R59" i="5"/>
  <c r="S59" i="5" s="1"/>
  <c r="R95" i="5"/>
  <c r="S95" i="5" s="1"/>
  <c r="R16" i="5"/>
  <c r="S16" i="5" s="1"/>
  <c r="R7" i="5"/>
  <c r="S7" i="5" s="1"/>
  <c r="R83" i="5"/>
  <c r="S83" i="5" s="1"/>
  <c r="R64" i="5"/>
  <c r="S64" i="5" s="1"/>
  <c r="R77" i="5"/>
  <c r="S77" i="5" s="1"/>
  <c r="R79" i="5"/>
  <c r="S79" i="5" s="1"/>
  <c r="AB4" i="5" l="1"/>
  <c r="Z4" i="5"/>
  <c r="V4" i="5"/>
  <c r="V5" i="5" s="1"/>
  <c r="S4" i="5"/>
  <c r="X4" i="5"/>
  <c r="X5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<sst xmlns="http://schemas.openxmlformats.org/spreadsheetml/2006/main" count="697" uniqueCount="178">
  <si>
    <t>Nr.</t>
  </si>
  <si>
    <t>Kommune</t>
  </si>
  <si>
    <t>Serviceudgifter budget 2023 (1.000 kr.)</t>
  </si>
  <si>
    <t>Teknisk fordeling serviceramme 2024 (1.000 kr.)</t>
  </si>
  <si>
    <t>DUT-nøgle (pct.)</t>
  </si>
  <si>
    <t>Hele landet</t>
  </si>
  <si>
    <t>I alt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</si>
  <si>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</si>
  <si>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</si>
  <si>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</si>
  <si>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</si>
  <si>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</si>
  <si>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</si>
  <si>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</si>
  <si>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</si>
  <si>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</si>
  <si>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</si>
  <si>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</si>
  <si>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</si>
  <si>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</si>
  <si>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</si>
  <si>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</si>
  <si>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</si>
  <si>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</si>
  <si>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</si>
  <si>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</si>
  <si>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</si>
  <si>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</si>
  <si>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</si>
  <si>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</si>
  <si>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</si>
  <si>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</si>
  <si>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</si>
  <si>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</si>
  <si>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</si>
  <si>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</si>
  <si>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</si>
  <si>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</si>
  <si>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</si>
  <si>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</si>
  <si>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</si>
  <si>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</si>
  <si>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</si>
  <si>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</si>
  <si>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</si>
  <si>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</si>
  <si>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</si>
  <si>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</si>
  <si>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</si>
  <si>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</si>
  <si>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</si>
  <si>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</si>
  <si>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</si>
  <si>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</si>
  <si>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</si>
  <si>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</si>
  <si>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</si>
  <si>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</si>
  <si>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</si>
  <si>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</si>
  <si>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</si>
  <si>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</si>
  <si>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</si>
  <si>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</si>
  <si>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</si>
  <si>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</si>
  <si>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</si>
  <si>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</si>
  <si>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</si>
  <si>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</si>
  <si>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</si>
  <si>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</si>
  <si>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</si>
  <si>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</si>
  <si>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</si>
  <si>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</si>
  <si>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</si>
  <si>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</si>
  <si>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</si>
  <si>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</si>
  <si>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</si>
  <si>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</si>
  <si>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</si>
  <si>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</si>
  <si>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</si>
  <si>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</si>
  <si>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</si>
  <si>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</si>
  <si>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</si>
  <si>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</si>
  <si>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</si>
  <si>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</si>
  <si>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</si>
  <si>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</si>
  <si>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</si>
  <si>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</si>
  <si>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</si>
  <si>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</si>
  <si>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</si>
  <si>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</si>
  <si>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</si>
  <si>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</si>
  <si>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</si>
  <si>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</si>
  <si>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</si>
  <si>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Serviceudgifter budget 2024 (1.000 kr.)</t>
  </si>
  <si>
    <t>Foreløbig teknisk fordeling 2025 (1.000 kr.)</t>
  </si>
  <si>
    <t>Kommunernes budgetter, funktioner efter prisenhed, art, tid, kommune og dranst</t>
  </si>
  <si>
    <t>PL: 24-25</t>
  </si>
  <si>
    <t>Enhed: -</t>
  </si>
  <si>
    <t>Grupper som fratrækkes i alt</t>
  </si>
  <si>
    <t>2025PL</t>
  </si>
  <si>
    <t>(2025PL)</t>
  </si>
  <si>
    <t>Hovedkonti 0, 2-6</t>
  </si>
  <si>
    <t>1 Driftskonti</t>
  </si>
  <si>
    <t>2 Statsrefusion</t>
  </si>
  <si>
    <t>Drift - 6.52.72 Tjenestemandspension - Grp. 1 Udbetaling af tjenestemandspensioner, kommunale forsyningsvirksomheder</t>
  </si>
  <si>
    <t>Drift - 6.52.72 Tjenestemandspension - Grp. 2 Udbetaling af tjenestemandspensioner, tidligere kommunale forsyningsvirksomheder</t>
  </si>
  <si>
    <t>Serviceudgifter i alt</t>
  </si>
  <si>
    <t>2023 i 2025-pl</t>
  </si>
  <si>
    <t>Folketal MTU 23</t>
  </si>
  <si>
    <t>udg/indb</t>
  </si>
  <si>
    <t>Funktioner der fratrækkes (driftskonti)</t>
  </si>
  <si>
    <t>Funktioner der fratrækkes (statsrefusion)</t>
  </si>
  <si>
    <t>Serviceudgifter i alt (2025 PL)</t>
  </si>
  <si>
    <t>Folketal MTU</t>
  </si>
  <si>
    <t>Ændring kr/indb</t>
  </si>
  <si>
    <t>Ændr pct i alt</t>
  </si>
  <si>
    <t>Serviceudgifter i alt 1.000 kr.</t>
  </si>
  <si>
    <t>Løbende priser (1.000 kr.)</t>
  </si>
  <si>
    <t>I alt (netto)</t>
  </si>
  <si>
    <t>2023</t>
  </si>
  <si>
    <t>1 - Hele landet</t>
  </si>
  <si>
    <t>Beregnet værdi: Funktioner, som fratrækkes i alt 
  Sum (værdi nr. 1 + 2 + 3 + 4 + 5 + 6 + 7 + 8 + 9 + 10 + 11 + 12 + 13 + 14 + 15 + 16 + 17 + 18 + 19 + 20 + 21 + 22 + 23 + 24 + 25 + 26 + 27 + 28 + 29 + 30 + 31) for variablen fnktion. Udelad oprindelige værdier</t>
  </si>
  <si>
    <t>under 0</t>
  </si>
  <si>
    <t>under 760</t>
  </si>
  <si>
    <t>Serviceramme 2026</t>
  </si>
  <si>
    <t>Budget 2026</t>
  </si>
  <si>
    <t>Serviceramme 2024 (2026 p/l)</t>
  </si>
  <si>
    <t>Budget 2024 (2026 p/l)</t>
  </si>
  <si>
    <t>Hovedkonti 0,2-6 2026</t>
  </si>
  <si>
    <t>Funktioner der fratrækkes (driftskonti) 2026</t>
  </si>
  <si>
    <t>Funktioner der fratrækkes (statsrefusion) 2026</t>
  </si>
  <si>
    <t>Serviceudgifter i alt 2025 1.000 kr.</t>
  </si>
  <si>
    <t>Ændring i alt (1000 kr.)</t>
  </si>
  <si>
    <t>Ændr pct i alt 2025-2026</t>
  </si>
  <si>
    <t>udg/indb 2025</t>
  </si>
  <si>
    <t>Ændring pr indb. (1.000 kr.)</t>
  </si>
  <si>
    <t>Ændring pr indb. Pct.</t>
  </si>
  <si>
    <t>Forskel pct 2024</t>
  </si>
  <si>
    <t>Forskel pct 2025</t>
  </si>
  <si>
    <t>Forskel pct 2026</t>
  </si>
  <si>
    <t>Over/under begge år</t>
  </si>
  <si>
    <t>Gennemsnit</t>
  </si>
  <si>
    <t>Antal år over</t>
  </si>
  <si>
    <t>Antal år under</t>
  </si>
  <si>
    <t>Over/under 2024</t>
  </si>
  <si>
    <t>Over/under 2026</t>
  </si>
  <si>
    <t>Over/under 2025</t>
  </si>
  <si>
    <t>Antal år lige på</t>
  </si>
  <si>
    <t>Antal år i alt</t>
  </si>
  <si>
    <t>Antal over hvert år</t>
  </si>
  <si>
    <t>Antal under hvert år</t>
  </si>
  <si>
    <t>Antal lige på hvert år</t>
  </si>
  <si>
    <t>Antal over i 2 år</t>
  </si>
  <si>
    <t>Antal under i 2 år</t>
  </si>
  <si>
    <t>Antal lige på i 2 år</t>
  </si>
  <si>
    <t>Antal over et år</t>
  </si>
  <si>
    <t>Antal under et år</t>
  </si>
  <si>
    <t>Antal lige på et år</t>
  </si>
  <si>
    <t>Antal over mindst to år</t>
  </si>
  <si>
    <t>Antal under mindst to år</t>
  </si>
  <si>
    <t>Antal lige på mindst to år</t>
  </si>
  <si>
    <t>Over rammen</t>
  </si>
  <si>
    <t>Under rammen</t>
  </si>
  <si>
    <t>Over/under rammen</t>
  </si>
  <si>
    <t>Serviceramme 2025 (2026 p/l)</t>
  </si>
  <si>
    <t>Budget 2025 (2026 p/l)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</si>
</sst>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Border="0" applyAlignment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 wrapText="1" indent="1" readingOrder="1"/>
    </xf>
    <xf numFmtId="3" fontId="3" fillId="0" borderId="1" xfId="0" applyNumberFormat="1" applyFont="1" applyBorder="1" applyAlignment="1">
      <alignment horizontal="left" vertical="center" wrapText="1" indent="1" readingOrder="1"/>
    </xf>
    <xf numFmtId="0" fontId="2" fillId="0" borderId="1" xfId="0" applyFont="1" applyBorder="1" applyAlignment="1">
      <alignment horizontal="left" vertical="center" wrapText="1" indent="1" readingOrder="1"/>
    </xf>
    <xf numFmtId="3" fontId="2" fillId="0" borderId="1" xfId="0" applyNumberFormat="1" applyFont="1" applyBorder="1" applyAlignment="1">
      <alignment horizontal="left" vertical="center" wrapText="1" indent="1" readingOrder="1"/>
    </xf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0" xfId="2" applyFont="1"/>
    <xf numFmtId="0" fontId="4" fillId="2" borderId="0" xfId="2" applyFill="1"/>
    <xf numFmtId="0" fontId="8" fillId="0" borderId="0" xfId="2" applyFont="1"/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wrapText="1"/>
    </xf>
    <xf numFmtId="0" fontId="8" fillId="2" borderId="0" xfId="2" applyFont="1" applyFill="1"/>
    <xf numFmtId="0" fontId="4" fillId="0" borderId="0" xfId="2" applyAlignment="1">
      <alignment horizontal="right"/>
    </xf>
    <xf numFmtId="1" fontId="4" fillId="0" borderId="0" xfId="2" applyNumberFormat="1"/>
    <xf numFmtId="164" fontId="0" fillId="0" borderId="0" xfId="3" applyNumberFormat="1" applyFont="1"/>
    <xf numFmtId="165" fontId="4" fillId="0" borderId="0" xfId="2" applyNumberFormat="1"/>
    <xf numFmtId="0" fontId="9" fillId="0" borderId="0" xfId="2" applyFont="1" applyAlignment="1">
      <alignment wrapText="1"/>
    </xf>
    <xf numFmtId="0" fontId="6" fillId="0" borderId="0" xfId="2" applyFont="1" applyAlignment="1">
      <alignment wrapText="1"/>
    </xf>
    <xf numFmtId="4" fontId="0" fillId="0" borderId="0" xfId="0" applyNumberFormat="1"/>
    <xf numFmtId="43" fontId="0" fillId="0" borderId="0" xfId="1" applyFont="1"/>
    <xf numFmtId="43" fontId="0" fillId="0" borderId="0" xfId="0" applyNumberFormat="1"/>
    <xf numFmtId="0" fontId="0" fillId="2" borderId="0" xfId="0" applyFill="1"/>
    <xf numFmtId="4" fontId="0" fillId="2" borderId="0" xfId="0" applyNumberFormat="1" applyFill="1"/>
    <xf numFmtId="43" fontId="0" fillId="0" borderId="0" xfId="1" applyFont="1" applyFill="1"/>
  </cellXfs>
  <cellStyles count="4">
    <cellStyle name="Komma" xfId="1" builtinId="3"/>
    <cellStyle name="Komma 2" xfId="3" xr:uid="{7E316A8C-0B42-45F5-A6E4-AE94E09E04C5}"/>
    <cellStyle name="Normal" xfId="0" builtinId="0"/>
    <cellStyle name="Normal 2" xfId="2" xr:uid="{1A553D75-9CF5-4501-95FA-186C4F4C79C1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103</xdr:row>
      <xdr:rowOff>171450</xdr:rowOff>
    </xdr:from>
    <xdr:to>
      <xdr:col>6</xdr:col>
      <xdr:colOff>847725</xdr:colOff>
      <xdr:row>112</xdr:row>
      <xdr:rowOff>57150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28B038A4-072E-4963-BBC0-BDB98E0E3FFC}"/>
            </a:ext>
          </a:extLst>
        </xdr:cNvPr>
        <xdr:cNvSpPr txBox="1"/>
      </xdr:nvSpPr>
      <xdr:spPr>
        <a:xfrm>
          <a:off x="4114800" y="22834600"/>
          <a:ext cx="427355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b="1"/>
            <a:t>Fakta: Sådan har vi gjort</a:t>
          </a:r>
          <a:endParaRPr lang="da-DK"/>
        </a:p>
        <a:p>
          <a:r>
            <a:rPr lang="da-DK"/>
            <a:t>Fra Statistikbanken har vi fra BUDK32, BUDK1 og BUDK100 trukket budgettal for 2022.</a:t>
          </a:r>
          <a:r>
            <a:rPr lang="da-DK" baseline="0"/>
            <a:t> 2024</a:t>
          </a:r>
          <a:r>
            <a:rPr lang="da-DK"/>
            <a:t> og 2025. Alle udgifter er trukket som nettodriftsudgifter fratrukket statsrefusion.</a:t>
          </a:r>
        </a:p>
        <a:p>
          <a:r>
            <a:rPr lang="da-DK"/>
            <a:t>Når vi har opgjort tallene i kroner pr. indbygger, har vi brugt folketallet fra Meddelelsen om tilskud og udligning i de relevante år.</a:t>
          </a:r>
        </a:p>
        <a:p>
          <a:r>
            <a:rPr lang="da-DK"/>
            <a:t>Tallene fra tidligere år er blevet PL-reguleret til 2025-PL på baggrund af pl-reguleringerne ved økonomiaftalerne.</a:t>
          </a:r>
        </a:p>
        <a:p>
          <a:r>
            <a:rPr lang="da-DK"/>
            <a:t>For at afgrænse serviceudgifterne har vi brugt KL's definition af serviceudgifter, </a:t>
          </a:r>
          <a:r>
            <a:rPr lang="da-DK">
              <a:hlinkClick xmlns:r="http://schemas.openxmlformats.org/officeDocument/2006/relationships" r:id=""/>
            </a:rPr>
            <a:t>som findes her</a:t>
          </a:r>
          <a:r>
            <a:rPr lang="da-DK"/>
            <a:t>.</a:t>
          </a:r>
        </a:p>
        <a:p>
          <a:r>
            <a:rPr lang="da-DK"/>
            <a:t>Herefter har vi lavet en række sammenligninger på tværs af de forskellige budgetår og de forskellige kommuner, hvor der i alle sammenligninger er brugt samme kontoafgrænsning, ligesom alle tal er justeret til faste 2025-priser.</a:t>
          </a: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CA46-3344-482E-AAB1-36F1BCB4C2BE}">
  <dimension ref="A1:AB99"/>
  <sheetViews>
    <sheetView tabSelected="1" workbookViewId="0">
      <selection activeCell="I11" sqref="I11"/>
    </sheetView>
  </sheetViews>
  <sheetFormatPr defaultRowHeight="15" x14ac:dyDescent="0.25"/>
  <cols>
    <col min="2" max="3" width="14.28515625" bestFit="1" customWidth="1"/>
    <col min="4" max="4" width="12.7109375" bestFit="1" customWidth="1"/>
    <col min="5" max="5" width="12.7109375" customWidth="1"/>
    <col min="6" max="7" width="12" bestFit="1" customWidth="1"/>
    <col min="8" max="9" width="12" customWidth="1"/>
    <col min="18" max="18" width="14.28515625" bestFit="1" customWidth="1"/>
  </cols>
  <sheetData>
    <row r="1" spans="1:28" x14ac:dyDescent="0.25">
      <c r="A1" t="s">
        <v>5</v>
      </c>
      <c r="B1" t="s">
        <v>138</v>
      </c>
      <c r="C1" t="s">
        <v>139</v>
      </c>
      <c r="D1" t="s">
        <v>149</v>
      </c>
      <c r="E1" t="s">
        <v>156</v>
      </c>
      <c r="F1" t="s">
        <v>176</v>
      </c>
      <c r="G1" t="s">
        <v>177</v>
      </c>
      <c r="H1" t="s">
        <v>150</v>
      </c>
      <c r="I1" t="s">
        <v>158</v>
      </c>
      <c r="J1" t="s">
        <v>136</v>
      </c>
      <c r="K1" t="s">
        <v>137</v>
      </c>
      <c r="L1" t="s">
        <v>151</v>
      </c>
      <c r="M1" t="s">
        <v>157</v>
      </c>
      <c r="N1" t="s">
        <v>152</v>
      </c>
      <c r="O1" t="s">
        <v>153</v>
      </c>
      <c r="P1" t="s">
        <v>154</v>
      </c>
      <c r="Q1" t="s">
        <v>155</v>
      </c>
      <c r="R1" t="s">
        <v>159</v>
      </c>
      <c r="S1" t="s">
        <v>160</v>
      </c>
    </row>
    <row r="2" spans="1:28" x14ac:dyDescent="0.25">
      <c r="A2" t="s">
        <v>16</v>
      </c>
      <c r="B2" s="21">
        <f>_xlfn.XLOOKUP(A2,'2024'!B:B,'2024'!D:D)*1.06915938074864</f>
        <v>2025928.7273929829</v>
      </c>
      <c r="C2" s="21">
        <f>_xlfn.XLOOKUP(A2,'2023-2025'!D:D,'2023-2025'!T:T)*1.06915938074864</f>
        <v>2004673.8389036998</v>
      </c>
      <c r="D2" s="21">
        <f>(C2-B2)/B2*100</f>
        <v>-1.049142953643512</v>
      </c>
      <c r="E2" s="21" t="str" cm="1">
        <f t="array" ref="E2">_xlfn.IFS(D2&lt;0,"under",D2&gt;0.01,"over",AND(D2&lt;0.01,D2&gt;-0.01),"lige på")</f>
        <v>under</v>
      </c>
      <c r="F2">
        <f>_xlfn.XLOOKUP(A2,'2025'!B:B,'2025'!D:D)*1.031</f>
        <v>2045755.5639999998</v>
      </c>
      <c r="G2">
        <f>_xlfn.XLOOKUP(A2,'2023-2025'!W:W,'2023-2025'!AE:AE)*1.031</f>
        <v>2045515.3409999998</v>
      </c>
      <c r="H2" s="21">
        <f>(G2-F2)/F2*100</f>
        <v>-1.1742507473879131E-2</v>
      </c>
      <c r="I2" s="21" t="str" cm="1">
        <f t="array" ref="I2">_xlfn.IFS(H2&lt;0,"under",H2&gt;0.01,"over",AND(H2&lt;0.01,H2&gt;-0.01),"lige på")</f>
        <v>under</v>
      </c>
      <c r="J2">
        <f>_xlfn.XLOOKUP(A2,'2026'!A:A,'2026'!P:P)</f>
        <v>2058406</v>
      </c>
      <c r="K2">
        <f>_xlfn.XLOOKUP(A2,'2026'!A:A,'2026'!G:G)</f>
        <v>2077000</v>
      </c>
      <c r="L2" s="21">
        <f>(K2-J2)/J2*100</f>
        <v>0.90332033622132857</v>
      </c>
      <c r="M2" s="21" t="str" cm="1">
        <f t="array" ref="M2">_xlfn.IFS(L2&lt;-0.01,"under",L2&gt;0.01,"over",AND(L2&lt;0.01,L2&gt;-0.01),"lige på")</f>
        <v>over</v>
      </c>
      <c r="N2" t="str" cm="1">
        <f t="array" ref="N2">IFERROR(_xlfn.IFS(AND(E2="under",I2="under",M2="under"),"Under alle tre år",AND(E2="over",I2="over",M2="over"),"Over alle år"),"")</f>
        <v/>
      </c>
      <c r="O2" s="22">
        <f>AVERAGE(L2,H2,D2)</f>
        <v>-5.2521708298687519E-2</v>
      </c>
      <c r="P2">
        <f>SUM(IF(D2&gt;0.01,1),IF(H2&gt;0.01,1),IF(L2&gt;0.01,1))</f>
        <v>1</v>
      </c>
      <c r="Q2">
        <f>SUM(IF(D2&lt;-0.01,1),IF(H2&lt;-0.01,1),IF(L2&lt;-0.01,1))</f>
        <v>2</v>
      </c>
      <c r="R2">
        <f>SUM(IF(E2="lige på",1,0),IF(I2="lige på",1,0),IF(M2="lige på",1,0))</f>
        <v>0</v>
      </c>
      <c r="S2">
        <f>SUM(P2:R2)</f>
        <v>3</v>
      </c>
      <c r="U2" t="s">
        <v>161</v>
      </c>
      <c r="V2">
        <f>COUNTIF(P2:P99,"=3")</f>
        <v>14</v>
      </c>
      <c r="W2" t="s">
        <v>164</v>
      </c>
      <c r="X2">
        <f>COUNTIF(P2:P99,"=2")</f>
        <v>29</v>
      </c>
      <c r="Y2" t="s">
        <v>167</v>
      </c>
      <c r="Z2">
        <f>COUNTIF(P2:P99,"=1")</f>
        <v>46</v>
      </c>
      <c r="AA2" t="s">
        <v>170</v>
      </c>
      <c r="AB2">
        <f>COUNTIF(P2:P99,"&gt;1,9")</f>
        <v>43</v>
      </c>
    </row>
    <row r="3" spans="1:28" x14ac:dyDescent="0.25">
      <c r="A3" t="s">
        <v>25</v>
      </c>
      <c r="B3" s="21">
        <f>_xlfn.XLOOKUP(A3,'2024'!B:B,'2024'!D:D)*1.06915938074864</f>
        <v>1494940.3433785976</v>
      </c>
      <c r="C3" s="21">
        <f>_xlfn.XLOOKUP(A3,'2023-2025'!D:D,'2023-2025'!T:T)*1.06915938074864</f>
        <v>1531364.4651619422</v>
      </c>
      <c r="D3" s="21">
        <f t="shared" ref="D3:D66" si="0">(C3-B3)/B3*100</f>
        <v>2.4364933319697046</v>
      </c>
      <c r="E3" s="21" t="str" cm="1">
        <f t="array" ref="E3">_xlfn.IFS(D3&lt;0,"under",D3&gt;0.01,"over",AND(D3&lt;0.01,D3&gt;-0.01),"lige på")</f>
        <v>over</v>
      </c>
      <c r="F3">
        <f>_xlfn.XLOOKUP(A3,'2025'!B:B,'2025'!D:D)*1.031</f>
        <v>1561140.2</v>
      </c>
      <c r="G3">
        <f>_xlfn.XLOOKUP(A3,'2023-2025'!W:W,'2023-2025'!AE:AE)*1.031</f>
        <v>1568072.6439999999</v>
      </c>
      <c r="H3" s="21">
        <f t="shared" ref="H3:H66" si="1">(G3-F3)/F3*100</f>
        <v>0.44406287148328522</v>
      </c>
      <c r="I3" s="21" t="str" cm="1">
        <f t="array" ref="I3">_xlfn.IFS(H3&lt;0,"under",H3&gt;0.01,"over",AND(H3&lt;0.01,H3&gt;-0.01),"lige på")</f>
        <v>over</v>
      </c>
      <c r="J3">
        <f>_xlfn.XLOOKUP(A3,'2026'!A:A,'2026'!P:P)</f>
        <v>1576803</v>
      </c>
      <c r="K3">
        <f>_xlfn.XLOOKUP(A3,'2026'!A:A,'2026'!G:G)</f>
        <v>1586251</v>
      </c>
      <c r="L3" s="21">
        <f t="shared" ref="L3:L66" si="2">(K3-J3)/J3*100</f>
        <v>0.59918708931933795</v>
      </c>
      <c r="M3" s="21" t="str" cm="1">
        <f t="array" ref="M3">_xlfn.IFS(L3&lt;-0.01,"under",L3&gt;0.01,"over",AND(L3&lt;0.01,L3&gt;-0.01),"lige på")</f>
        <v>over</v>
      </c>
      <c r="N3" t="str" cm="1">
        <f t="array" ref="N3">IFERROR(_xlfn.IFS(AND(E3="under",I3="under",M3="under"),"Under alle tre år",AND(E3="over",I3="over",M3="over"),"Over alle år"),"")</f>
        <v>Over alle år</v>
      </c>
      <c r="O3" s="22">
        <f t="shared" ref="O3:O66" si="3">AVERAGE(L3,H3,D3)</f>
        <v>1.1599144309241092</v>
      </c>
      <c r="P3">
        <f>SUM(IF(D3&gt;0.01,1),IF(H3&gt;0.01,1),IF(L3&gt;0.01,1))</f>
        <v>3</v>
      </c>
      <c r="Q3">
        <f>SUM(IF(D3&lt;-0.01,1),IF(H3&lt;-0.01,1),IF(L3&lt;-0.01,1))</f>
        <v>0</v>
      </c>
      <c r="R3">
        <f>SUM(IF(E3="lige på",1,0),IF(I3="lige på",1,0),IF(M3="lige på",1,0))</f>
        <v>0</v>
      </c>
      <c r="S3">
        <f t="shared" ref="S3:S66" si="4">SUM(P3:R3)</f>
        <v>3</v>
      </c>
      <c r="U3" t="s">
        <v>162</v>
      </c>
      <c r="V3">
        <f>COUNTIF(Q2:Q99,"=3")</f>
        <v>7</v>
      </c>
      <c r="W3" t="s">
        <v>165</v>
      </c>
      <c r="X3">
        <f>COUNTIF(Q2:Q99,"=2")</f>
        <v>35</v>
      </c>
      <c r="Y3" t="s">
        <v>168</v>
      </c>
      <c r="Z3">
        <f>COUNTIF(Q2:Q99,"=1")</f>
        <v>29</v>
      </c>
      <c r="AA3" t="s">
        <v>171</v>
      </c>
      <c r="AB3">
        <f>COUNTIF(Q2:Q99,"&gt;1,9")</f>
        <v>42</v>
      </c>
    </row>
    <row r="4" spans="1:28" x14ac:dyDescent="0.25">
      <c r="A4" t="s">
        <v>54</v>
      </c>
      <c r="B4" s="21">
        <f>_xlfn.XLOOKUP(A4,'2024'!B:B,'2024'!D:D)*1.06915938074864</f>
        <v>2282205.1617990509</v>
      </c>
      <c r="C4" s="21">
        <f>_xlfn.XLOOKUP(A4,'2023-2025'!D:D,'2023-2025'!T:T)*1.06915938074864</f>
        <v>2299567.2409830284</v>
      </c>
      <c r="D4" s="21">
        <f t="shared" si="0"/>
        <v>0.76075891311590593</v>
      </c>
      <c r="E4" s="21" t="str" cm="1">
        <f t="array" ref="E4">_xlfn.IFS(D4&lt;0,"under",D4&gt;0.01,"over",AND(D4&lt;0.01,D4&gt;-0.01),"lige på")</f>
        <v>over</v>
      </c>
      <c r="F4">
        <f>_xlfn.XLOOKUP(A4,'2025'!B:B,'2025'!D:D)*1.031</f>
        <v>2350690.3099999996</v>
      </c>
      <c r="G4">
        <f>_xlfn.XLOOKUP(A4,'2023-2025'!W:W,'2023-2025'!AE:AE)*1.031</f>
        <v>2311979.3529999997</v>
      </c>
      <c r="H4" s="21">
        <f t="shared" si="1"/>
        <v>-1.6467910228463885</v>
      </c>
      <c r="I4" s="21" t="str" cm="1">
        <f t="array" ref="I4">_xlfn.IFS(H4&lt;0,"under",H4&gt;0.01,"over",AND(H4&lt;0.01,H4&gt;-0.01),"lige på")</f>
        <v>under</v>
      </c>
      <c r="J4">
        <f>_xlfn.XLOOKUP(A4,'2026'!A:A,'2026'!P:P)</f>
        <v>2329249</v>
      </c>
      <c r="K4">
        <f>_xlfn.XLOOKUP(A4,'2026'!A:A,'2026'!G:G)</f>
        <v>2328665</v>
      </c>
      <c r="L4" s="21">
        <f t="shared" si="2"/>
        <v>-2.5072458977120952E-2</v>
      </c>
      <c r="M4" s="21" t="str" cm="1">
        <f t="array" ref="M4">_xlfn.IFS(L4&lt;-0.01,"under",L4&gt;0.01,"over",AND(L4&lt;0.01,L4&gt;-0.01),"lige på")</f>
        <v>under</v>
      </c>
      <c r="N4" t="str" cm="1">
        <f t="array" ref="N4">IFERROR(_xlfn.IFS(AND(E4="under",I4="under",M4="under"),"Under alle tre år",AND(E4="over",I4="over",M4="over"),"Over alle år"),"")</f>
        <v/>
      </c>
      <c r="O4" s="22">
        <f t="shared" si="3"/>
        <v>-0.30370152290253449</v>
      </c>
      <c r="P4">
        <f>SUM(IF(D4&gt;0.01,1),IF(H4&gt;0.01,1),IF(L4&gt;0.01,1))</f>
        <v>1</v>
      </c>
      <c r="Q4">
        <f>SUM(IF(D4&lt;-0.01,1),IF(H4&lt;-0.01,1),IF(L4&lt;-0.01,1))</f>
        <v>2</v>
      </c>
      <c r="R4">
        <f>SUM(IF(E4="lige på",1,0),IF(I4="lige på",1,0),IF(M4="lige på",1,0))</f>
        <v>0</v>
      </c>
      <c r="S4">
        <f t="shared" si="4"/>
        <v>3</v>
      </c>
      <c r="U4" t="s">
        <v>163</v>
      </c>
      <c r="V4">
        <f>COUNTIF(R2:R99,"=3")</f>
        <v>0</v>
      </c>
      <c r="W4" t="s">
        <v>166</v>
      </c>
      <c r="X4">
        <f>COUNTIF(R2:R99,"=2")</f>
        <v>4</v>
      </c>
      <c r="Y4" t="s">
        <v>169</v>
      </c>
      <c r="Z4">
        <f>COUNTIF(R2:R99,"=1")</f>
        <v>19</v>
      </c>
      <c r="AA4" t="s">
        <v>172</v>
      </c>
      <c r="AB4">
        <f>COUNTIF(R2:R99,"&gt;1,9")</f>
        <v>4</v>
      </c>
    </row>
    <row r="5" spans="1:28" x14ac:dyDescent="0.25">
      <c r="A5" t="s">
        <v>9</v>
      </c>
      <c r="B5" s="21">
        <f>_xlfn.XLOOKUP(A5,'2024'!B:B,'2024'!D:D)*1.06915938074864</f>
        <v>3431148.4230172969</v>
      </c>
      <c r="C5" s="21">
        <f>_xlfn.XLOOKUP(A5,'2023-2025'!D:D,'2023-2025'!T:T)*1.06915938074864</f>
        <v>3519729.3468717025</v>
      </c>
      <c r="D5" s="21">
        <f t="shared" si="0"/>
        <v>2.5816698356787748</v>
      </c>
      <c r="E5" s="21" t="str" cm="1">
        <f t="array" ref="E5">_xlfn.IFS(D5&lt;0,"under",D5&gt;0.01,"over",AND(D5&lt;0.01,D5&gt;-0.01),"lige på")</f>
        <v>over</v>
      </c>
      <c r="F5">
        <f>_xlfn.XLOOKUP(A5,'2025'!B:B,'2025'!D:D)*1.031</f>
        <v>3589958.4959999998</v>
      </c>
      <c r="G5">
        <f>_xlfn.XLOOKUP(A5,'2023-2025'!W:W,'2023-2025'!AE:AE)*1.031</f>
        <v>3687915.8679999998</v>
      </c>
      <c r="H5" s="21">
        <f t="shared" si="1"/>
        <v>2.7286491503772519</v>
      </c>
      <c r="I5" s="21" t="str" cm="1">
        <f t="array" ref="I5">_xlfn.IFS(H5&lt;0,"under",H5&gt;0.01,"over",AND(H5&lt;0.01,H5&gt;-0.01),"lige på")</f>
        <v>over</v>
      </c>
      <c r="J5">
        <f>_xlfn.XLOOKUP(A5,'2026'!A:A,'2026'!P:P)</f>
        <v>3709717</v>
      </c>
      <c r="K5">
        <f>_xlfn.XLOOKUP(A5,'2026'!A:A,'2026'!G:G)</f>
        <v>3748180</v>
      </c>
      <c r="L5" s="21">
        <f t="shared" si="2"/>
        <v>1.0368176332588175</v>
      </c>
      <c r="M5" s="21" t="str" cm="1">
        <f t="array" ref="M5">_xlfn.IFS(L5&lt;-0.01,"under",L5&gt;0.01,"over",AND(L5&lt;0.01,L5&gt;-0.01),"lige på")</f>
        <v>over</v>
      </c>
      <c r="N5" t="str" cm="1">
        <f t="array" ref="N5">IFERROR(_xlfn.IFS(AND(E5="under",I5="under",M5="under"),"Under alle tre år",AND(E5="over",I5="over",M5="over"),"Over alle år"),"")</f>
        <v>Over alle år</v>
      </c>
      <c r="O5" s="22">
        <f t="shared" si="3"/>
        <v>2.1157122064382814</v>
      </c>
      <c r="P5">
        <f>SUM(IF(D5&gt;0.01,1),IF(H5&gt;0.01,1),IF(L5&gt;0.01,1))</f>
        <v>3</v>
      </c>
      <c r="Q5">
        <f>SUM(IF(D5&lt;-0.01,1),IF(H5&lt;-0.01,1),IF(L5&lt;-0.01,1))</f>
        <v>0</v>
      </c>
      <c r="R5">
        <f>SUM(IF(E5="lige på",1,0),IF(I5="lige på",1,0),IF(M5="lige på",1,0))</f>
        <v>0</v>
      </c>
      <c r="S5">
        <f t="shared" si="4"/>
        <v>3</v>
      </c>
      <c r="V5">
        <f>SUM(V2:V4)</f>
        <v>21</v>
      </c>
      <c r="X5">
        <f>SUM(X2:X4)</f>
        <v>68</v>
      </c>
    </row>
    <row r="6" spans="1:28" x14ac:dyDescent="0.25">
      <c r="A6" t="s">
        <v>64</v>
      </c>
      <c r="B6" s="21">
        <f>_xlfn.XLOOKUP(A6,'2024'!B:B,'2024'!D:D)*1.06915938074864</f>
        <v>1560935.275314688</v>
      </c>
      <c r="C6" s="21">
        <f>_xlfn.XLOOKUP(A6,'2023-2025'!D:D,'2023-2025'!T:T)*1.06915938074864</f>
        <v>1572679.991112212</v>
      </c>
      <c r="D6" s="21">
        <f t="shared" si="0"/>
        <v>0.7524152976270081</v>
      </c>
      <c r="E6" s="21" t="str" cm="1">
        <f t="array" ref="E6">_xlfn.IFS(D6&lt;0,"under",D6&gt;0.01,"over",AND(D6&lt;0.01,D6&gt;-0.01),"lige på")</f>
        <v>over</v>
      </c>
      <c r="F6">
        <f>_xlfn.XLOOKUP(A6,'2025'!B:B,'2025'!D:D)*1.031</f>
        <v>1606548.5329999998</v>
      </c>
      <c r="G6">
        <f>_xlfn.XLOOKUP(A6,'2023-2025'!W:W,'2023-2025'!AE:AE)*1.031</f>
        <v>1606620.703</v>
      </c>
      <c r="H6" s="21">
        <f t="shared" si="1"/>
        <v>4.4922390153624026E-3</v>
      </c>
      <c r="I6" s="21" t="str" cm="1">
        <f t="array" ref="I6">_xlfn.IFS(H6&lt;0,"under",H6&gt;0.01,"over",AND(H6&lt;0.01,H6&gt;-0.01),"lige på")</f>
        <v>lige på</v>
      </c>
      <c r="J6">
        <f>_xlfn.XLOOKUP(A6,'2026'!A:A,'2026'!P:P)</f>
        <v>1617714</v>
      </c>
      <c r="K6">
        <f>_xlfn.XLOOKUP(A6,'2026'!A:A,'2026'!G:G)</f>
        <v>1617797</v>
      </c>
      <c r="L6" s="21">
        <f t="shared" si="2"/>
        <v>5.1306967733480702E-3</v>
      </c>
      <c r="M6" s="21" t="str" cm="1">
        <f t="array" ref="M6">_xlfn.IFS(L6&lt;-0.01,"under",L6&gt;0.01,"over",AND(L6&lt;0.01,L6&gt;-0.01),"lige på")</f>
        <v>lige på</v>
      </c>
      <c r="N6" t="str" cm="1">
        <f t="array" ref="N6">IFERROR(_xlfn.IFS(AND(E6="under",I6="under",M6="under"),"Under alle tre år",AND(E6="over",I6="over",M6="over"),"Over alle år"),"")</f>
        <v/>
      </c>
      <c r="O6" s="22">
        <f t="shared" si="3"/>
        <v>0.25401274447190619</v>
      </c>
      <c r="P6">
        <f>SUM(IF(D6&gt;0.01,1),IF(H6&gt;0.01,1),IF(L6&gt;0.01,1))</f>
        <v>1</v>
      </c>
      <c r="Q6">
        <f>SUM(IF(D6&lt;-0.01,1),IF(H6&lt;-0.01,1),IF(L6&lt;-0.01,1))</f>
        <v>0</v>
      </c>
      <c r="R6">
        <f>SUM(IF(E6="lige på",1,0),IF(I6="lige på",1,0),IF(M6="lige på",1,0))</f>
        <v>2</v>
      </c>
      <c r="S6">
        <f t="shared" si="4"/>
        <v>3</v>
      </c>
    </row>
    <row r="7" spans="1:28" x14ac:dyDescent="0.25">
      <c r="A7" t="s">
        <v>52</v>
      </c>
      <c r="B7" s="21">
        <f>_xlfn.XLOOKUP(A7,'2024'!B:B,'2024'!D:D)*1.06915938074864</f>
        <v>2404499.8884066036</v>
      </c>
      <c r="C7" s="21">
        <f>_xlfn.XLOOKUP(A7,'2023-2025'!D:D,'2023-2025'!T:T)*1.06915938074864</f>
        <v>2384338.7499638265</v>
      </c>
      <c r="D7" s="21">
        <f t="shared" si="0"/>
        <v>-0.83847533285340814</v>
      </c>
      <c r="E7" s="21" t="str" cm="1">
        <f t="array" ref="E7">_xlfn.IFS(D7&lt;0,"under",D7&gt;0.01,"over",AND(D7&lt;0.01,D7&gt;-0.01),"lige på")</f>
        <v>under</v>
      </c>
      <c r="F7">
        <f>_xlfn.XLOOKUP(A7,'2025'!B:B,'2025'!D:D)*1.031</f>
        <v>2434993.1179999998</v>
      </c>
      <c r="G7">
        <f>_xlfn.XLOOKUP(A7,'2023-2025'!W:W,'2023-2025'!AE:AE)*1.031</f>
        <v>2402566.1059999997</v>
      </c>
      <c r="H7" s="21">
        <f t="shared" si="1"/>
        <v>-1.3317085687139141</v>
      </c>
      <c r="I7" s="21" t="str" cm="1">
        <f t="array" ref="I7">_xlfn.IFS(H7&lt;0,"under",H7&gt;0.01,"over",AND(H7&lt;0.01,H7&gt;-0.01),"lige på")</f>
        <v>under</v>
      </c>
      <c r="J7">
        <f>_xlfn.XLOOKUP(A7,'2026'!A:A,'2026'!P:P)</f>
        <v>2418842</v>
      </c>
      <c r="K7">
        <f>_xlfn.XLOOKUP(A7,'2026'!A:A,'2026'!G:G)</f>
        <v>2420515</v>
      </c>
      <c r="L7" s="21">
        <f t="shared" si="2"/>
        <v>6.9165327871766741E-2</v>
      </c>
      <c r="M7" s="21" t="str" cm="1">
        <f t="array" ref="M7">_xlfn.IFS(L7&lt;-0.01,"under",L7&gt;0.01,"over",AND(L7&lt;0.01,L7&gt;-0.01),"lige på")</f>
        <v>over</v>
      </c>
      <c r="N7" t="str" cm="1">
        <f t="array" ref="N7">IFERROR(_xlfn.IFS(AND(E7="under",I7="under",M7="under"),"Under alle tre år",AND(E7="over",I7="over",M7="over"),"Over alle år"),"")</f>
        <v/>
      </c>
      <c r="O7" s="22">
        <f t="shared" si="3"/>
        <v>-0.70033952456518511</v>
      </c>
      <c r="P7">
        <f>SUM(IF(D7&gt;0.01,1),IF(H7&gt;0.01,1),IF(L7&gt;0.01,1))</f>
        <v>1</v>
      </c>
      <c r="Q7">
        <f>SUM(IF(D7&lt;-0.01,1),IF(H7&lt;-0.01,1),IF(L7&lt;-0.01,1))</f>
        <v>2</v>
      </c>
      <c r="R7">
        <f>SUM(IF(E7="lige på",1,0),IF(I7="lige på",1,0),IF(M7="lige på",1,0))</f>
        <v>0</v>
      </c>
      <c r="S7">
        <f t="shared" si="4"/>
        <v>3</v>
      </c>
    </row>
    <row r="8" spans="1:28" x14ac:dyDescent="0.25">
      <c r="A8" t="s">
        <v>10</v>
      </c>
      <c r="B8" s="21">
        <f>_xlfn.XLOOKUP(A8,'2024'!B:B,'2024'!D:D)*1.06915938074864</f>
        <v>2499773.7499844953</v>
      </c>
      <c r="C8" s="21">
        <f>_xlfn.XLOOKUP(A8,'2023-2025'!D:D,'2023-2025'!T:T)*1.06915938074864</f>
        <v>2529635.3714888049</v>
      </c>
      <c r="D8" s="21">
        <f t="shared" si="0"/>
        <v>1.1945729690334896</v>
      </c>
      <c r="E8" s="21" t="str" cm="1">
        <f t="array" ref="E8">_xlfn.IFS(D8&lt;0,"under",D8&gt;0.01,"over",AND(D8&lt;0.01,D8&gt;-0.01),"lige på")</f>
        <v>over</v>
      </c>
      <c r="F8">
        <f>_xlfn.XLOOKUP(A8,'2025'!B:B,'2025'!D:D)*1.031</f>
        <v>2584788.139</v>
      </c>
      <c r="G8">
        <f>_xlfn.XLOOKUP(A8,'2023-2025'!W:W,'2023-2025'!AE:AE)*1.031</f>
        <v>2610488.9069999997</v>
      </c>
      <c r="H8" s="21">
        <f t="shared" si="1"/>
        <v>0.9943084933043207</v>
      </c>
      <c r="I8" s="21" t="str" cm="1">
        <f t="array" ref="I8">_xlfn.IFS(H8&lt;0,"under",H8&gt;0.01,"over",AND(H8&lt;0.01,H8&gt;-0.01),"lige på")</f>
        <v>over</v>
      </c>
      <c r="J8">
        <f>_xlfn.XLOOKUP(A8,'2026'!A:A,'2026'!P:P)</f>
        <v>2629725</v>
      </c>
      <c r="K8">
        <f>_xlfn.XLOOKUP(A8,'2026'!A:A,'2026'!G:G)</f>
        <v>2661706</v>
      </c>
      <c r="L8" s="21">
        <f t="shared" si="2"/>
        <v>1.2161347669433116</v>
      </c>
      <c r="M8" s="21" t="str" cm="1">
        <f t="array" ref="M8">_xlfn.IFS(L8&lt;-0.01,"under",L8&gt;0.01,"over",AND(L8&lt;0.01,L8&gt;-0.01),"lige på")</f>
        <v>over</v>
      </c>
      <c r="N8" t="str" cm="1">
        <f t="array" ref="N8">IFERROR(_xlfn.IFS(AND(E8="under",I8="under",M8="under"),"Under alle tre år",AND(E8="over",I8="over",M8="over"),"Over alle år"),"")</f>
        <v>Over alle år</v>
      </c>
      <c r="O8" s="22">
        <f t="shared" si="3"/>
        <v>1.1350054097603739</v>
      </c>
      <c r="P8">
        <f>SUM(IF(D8&gt;0.01,1),IF(H8&gt;0.01,1),IF(L8&gt;0.01,1))</f>
        <v>3</v>
      </c>
      <c r="Q8">
        <f>SUM(IF(D8&lt;-0.01,1),IF(H8&lt;-0.01,1),IF(L8&lt;-0.01,1))</f>
        <v>0</v>
      </c>
      <c r="R8">
        <f>SUM(IF(E8="lige på",1,0),IF(I8="lige på",1,0),IF(M8="lige på",1,0))</f>
        <v>0</v>
      </c>
      <c r="S8">
        <f t="shared" si="4"/>
        <v>3</v>
      </c>
    </row>
    <row r="9" spans="1:28" x14ac:dyDescent="0.25">
      <c r="A9" t="s">
        <v>96</v>
      </c>
      <c r="B9" s="21">
        <f>_xlfn.XLOOKUP(A9,'2024'!B:B,'2024'!D:D)*1.06915938074864</f>
        <v>2132545.300841237</v>
      </c>
      <c r="C9" s="21">
        <f>_xlfn.XLOOKUP(A9,'2023-2025'!D:D,'2023-2025'!T:T)*1.06915938074864</f>
        <v>2129642.5331225046</v>
      </c>
      <c r="D9" s="21">
        <f t="shared" si="0"/>
        <v>-0.13611751729669172</v>
      </c>
      <c r="E9" s="21" t="str" cm="1">
        <f t="array" ref="E9">_xlfn.IFS(D9&lt;0,"under",D9&gt;0.01,"over",AND(D9&lt;0.01,D9&gt;-0.01),"lige på")</f>
        <v>under</v>
      </c>
      <c r="F9">
        <f>_xlfn.XLOOKUP(A9,'2025'!B:B,'2025'!D:D)*1.031</f>
        <v>2175139.878</v>
      </c>
      <c r="G9">
        <f>_xlfn.XLOOKUP(A9,'2023-2025'!W:W,'2023-2025'!AE:AE)*1.031</f>
        <v>2130931.6289999997</v>
      </c>
      <c r="H9" s="21">
        <f t="shared" si="1"/>
        <v>-2.0324324631779063</v>
      </c>
      <c r="I9" s="21" t="str" cm="1">
        <f t="array" ref="I9">_xlfn.IFS(H9&lt;0,"under",H9&gt;0.01,"over",AND(H9&lt;0.01,H9&gt;-0.01),"lige på")</f>
        <v>under</v>
      </c>
      <c r="J9">
        <f>_xlfn.XLOOKUP(A9,'2026'!A:A,'2026'!P:P)</f>
        <v>2146067</v>
      </c>
      <c r="K9">
        <f>_xlfn.XLOOKUP(A9,'2026'!A:A,'2026'!G:G)</f>
        <v>2136700</v>
      </c>
      <c r="L9" s="21">
        <f t="shared" si="2"/>
        <v>-0.43647285942144398</v>
      </c>
      <c r="M9" s="21" t="str" cm="1">
        <f t="array" ref="M9">_xlfn.IFS(L9&lt;-0.01,"under",L9&gt;0.01,"over",AND(L9&lt;0.01,L9&gt;-0.01),"lige på")</f>
        <v>under</v>
      </c>
      <c r="N9" t="str" cm="1">
        <f t="array" ref="N9">IFERROR(_xlfn.IFS(AND(E9="under",I9="under",M9="under"),"Under alle tre år",AND(E9="over",I9="over",M9="over"),"Over alle år"),"")</f>
        <v>Under alle tre år</v>
      </c>
      <c r="O9" s="22">
        <f t="shared" si="3"/>
        <v>-0.868340946632014</v>
      </c>
      <c r="P9">
        <f>SUM(IF(D9&gt;0.01,1),IF(H9&gt;0.01,1),IF(L9&gt;0.01,1))</f>
        <v>0</v>
      </c>
      <c r="Q9">
        <f>SUM(IF(D9&lt;-0.01,1),IF(H9&lt;-0.01,1),IF(L9&lt;-0.01,1))</f>
        <v>3</v>
      </c>
      <c r="R9">
        <f>SUM(IF(E9="lige på",1,0),IF(I9="lige på",1,0),IF(M9="lige på",1,0))</f>
        <v>0</v>
      </c>
      <c r="S9">
        <f t="shared" si="4"/>
        <v>3</v>
      </c>
    </row>
    <row r="10" spans="1:28" x14ac:dyDescent="0.25">
      <c r="A10" t="s">
        <v>11</v>
      </c>
      <c r="B10" s="21">
        <f>_xlfn.XLOOKUP(A10,'2024'!B:B,'2024'!D:D)*1.06915938074864</f>
        <v>831905.4300448515</v>
      </c>
      <c r="C10" s="21">
        <f>_xlfn.XLOOKUP(A10,'2023-2025'!D:D,'2023-2025'!T:T)*1.06915938074864</f>
        <v>837929.07399598928</v>
      </c>
      <c r="D10" s="25">
        <f t="shared" si="0"/>
        <v>0.7240779701141058</v>
      </c>
      <c r="E10" s="25" t="str" cm="1">
        <f t="array" ref="E10">_xlfn.IFS(D10&lt;0,"under",D10&gt;0.01,"over",AND(D10&lt;0.01,D10&gt;-0.01),"lige på")</f>
        <v>over</v>
      </c>
      <c r="F10">
        <f>_xlfn.XLOOKUP(A10,'2025'!B:B,'2025'!D:D)*1.031</f>
        <v>855006.2379999999</v>
      </c>
      <c r="G10">
        <f>_xlfn.XLOOKUP(A10,'2023-2025'!W:W,'2023-2025'!AE:AE)*1.031</f>
        <v>823668.9929999999</v>
      </c>
      <c r="H10" s="25">
        <f t="shared" si="1"/>
        <v>-3.6651481132234731</v>
      </c>
      <c r="I10" s="25" t="str" cm="1">
        <f t="array" ref="I10">_xlfn.IFS(H10&lt;0,"under",H10&gt;0.01,"over",AND(H10&lt;0.01,H10&gt;-0.01),"lige på")</f>
        <v>under</v>
      </c>
      <c r="J10">
        <f>_xlfn.XLOOKUP(A10,'2026'!A:A,'2026'!P:P)</f>
        <v>828964</v>
      </c>
      <c r="K10">
        <f>_xlfn.XLOOKUP(A10,'2026'!A:A,'2026'!G:G)</f>
        <v>845814</v>
      </c>
      <c r="L10" s="25">
        <f t="shared" si="2"/>
        <v>2.0326576304881758</v>
      </c>
      <c r="M10" s="25" t="str" cm="1">
        <f t="array" ref="M10">_xlfn.IFS(L10&lt;-0.01,"under",L10&gt;0.01,"over",AND(L10&lt;0.01,L10&gt;-0.01),"lige på")</f>
        <v>over</v>
      </c>
      <c r="N10" t="str" cm="1">
        <f t="array" ref="N10">IFERROR(_xlfn.IFS(AND(E10="under",I10="under",M10="under"),"Under alle tre år",AND(E10="over",I10="over",M10="over"),"Over alle år"),"")</f>
        <v/>
      </c>
      <c r="O10" s="22">
        <f t="shared" si="3"/>
        <v>-0.30280417087373052</v>
      </c>
      <c r="P10">
        <f>SUM(IF(D10&gt;0.01,1),IF(H10&gt;0.01,1),IF(L10&gt;0.01,1))</f>
        <v>2</v>
      </c>
      <c r="Q10">
        <f>SUM(IF(D10&lt;-0.01,1),IF(H10&lt;-0.01,1),IF(L10&lt;-0.01,1))</f>
        <v>1</v>
      </c>
      <c r="R10">
        <f>SUM(IF(E10="lige på",1,0),IF(I10="lige på",1,0),IF(M10="lige på",1,0))</f>
        <v>0</v>
      </c>
      <c r="S10">
        <f t="shared" si="4"/>
        <v>3</v>
      </c>
    </row>
    <row r="11" spans="1:28" x14ac:dyDescent="0.25">
      <c r="A11" t="s">
        <v>31</v>
      </c>
      <c r="B11" s="21">
        <f>_xlfn.XLOOKUP(A11,'2024'!B:B,'2024'!D:D)*1.06915938074864</f>
        <v>2431573.1422459204</v>
      </c>
      <c r="C11" s="21">
        <f>_xlfn.XLOOKUP(A11,'2023-2025'!D:D,'2023-2025'!T:T)*1.06915938074864</f>
        <v>2478457.91941051</v>
      </c>
      <c r="D11" s="21">
        <f t="shared" si="0"/>
        <v>1.9281664347256497</v>
      </c>
      <c r="E11" s="21" t="str" cm="1">
        <f t="array" ref="E11">_xlfn.IFS(D11&lt;0,"under",D11&gt;0.01,"over",AND(D11&lt;0.01,D11&gt;-0.01),"lige på")</f>
        <v>over</v>
      </c>
      <c r="F11">
        <f>_xlfn.XLOOKUP(A11,'2025'!B:B,'2025'!D:D)*1.031</f>
        <v>2529454.3689999999</v>
      </c>
      <c r="G11">
        <f>_xlfn.XLOOKUP(A11,'2023-2025'!W:W,'2023-2025'!AE:AE)*1.031</f>
        <v>2544464.6979999999</v>
      </c>
      <c r="H11" s="21">
        <f t="shared" si="1"/>
        <v>0.59342161629640811</v>
      </c>
      <c r="I11" s="21" t="str" cm="1">
        <f t="array" ref="I11">_xlfn.IFS(H11&lt;0,"under",H11&gt;0.01,"over",AND(H11&lt;0.01,H11&gt;-0.01),"lige på")</f>
        <v>over</v>
      </c>
      <c r="J11">
        <f>_xlfn.XLOOKUP(A11,'2026'!A:A,'2026'!P:P)</f>
        <v>2560528</v>
      </c>
      <c r="K11">
        <f>_xlfn.XLOOKUP(A11,'2026'!A:A,'2026'!G:G)</f>
        <v>2560342</v>
      </c>
      <c r="L11" s="21">
        <f t="shared" si="2"/>
        <v>-7.2641267738528924E-3</v>
      </c>
      <c r="M11" s="21" t="str" cm="1">
        <f t="array" ref="M11">_xlfn.IFS(L11&lt;-0.01,"under",L11&gt;0.01,"over",AND(L11&lt;0.01,L11&gt;-0.01),"lige på")</f>
        <v>lige på</v>
      </c>
      <c r="N11" t="str" cm="1">
        <f t="array" ref="N11">IFERROR(_xlfn.IFS(AND(E11="under",I11="under",M11="under"),"Under alle tre år",AND(E11="over",I11="over",M11="over"),"Over alle år"),"")</f>
        <v/>
      </c>
      <c r="O11" s="22">
        <f t="shared" si="3"/>
        <v>0.83810797474940169</v>
      </c>
      <c r="P11">
        <f>SUM(IF(D11&gt;0.01,1),IF(H11&gt;0.01,1),IF(L11&gt;0.01,1))</f>
        <v>2</v>
      </c>
      <c r="Q11">
        <f>SUM(IF(D11&lt;-0.01,1),IF(H11&lt;-0.01,1),IF(L11&lt;-0.01,1))</f>
        <v>0</v>
      </c>
      <c r="R11">
        <f>SUM(IF(E11="lige på",1,0),IF(I11="lige på",1,0),IF(M11="lige på",1,0))</f>
        <v>1</v>
      </c>
      <c r="S11">
        <f t="shared" si="4"/>
        <v>3</v>
      </c>
    </row>
    <row r="12" spans="1:28" x14ac:dyDescent="0.25">
      <c r="A12" t="s">
        <v>67</v>
      </c>
      <c r="B12" s="21">
        <f>_xlfn.XLOOKUP(A12,'2024'!B:B,'2024'!D:D)*1.06915938074864</f>
        <v>6432934.1994791282</v>
      </c>
      <c r="C12" s="21">
        <f>_xlfn.XLOOKUP(A12,'2023-2025'!D:D,'2023-2025'!T:T)*1.06915938074864</f>
        <v>6387283.2322399225</v>
      </c>
      <c r="D12" s="21">
        <f t="shared" si="0"/>
        <v>-0.70964455446943742</v>
      </c>
      <c r="E12" s="21" t="str" cm="1">
        <f t="array" ref="E12">_xlfn.IFS(D12&lt;0,"under",D12&gt;0.01,"over",AND(D12&lt;0.01,D12&gt;-0.01),"lige på")</f>
        <v>under</v>
      </c>
      <c r="F12">
        <f>_xlfn.XLOOKUP(A12,'2025'!B:B,'2025'!D:D)*1.031</f>
        <v>6530752.9969999995</v>
      </c>
      <c r="G12">
        <f>_xlfn.XLOOKUP(A12,'2023-2025'!W:W,'2023-2025'!AE:AE)*1.031</f>
        <v>6481551.6149999993</v>
      </c>
      <c r="H12" s="21">
        <f t="shared" si="1"/>
        <v>-0.75337992452940139</v>
      </c>
      <c r="I12" s="21" t="str" cm="1">
        <f t="array" ref="I12">_xlfn.IFS(H12&lt;0,"under",H12&gt;0.01,"over",AND(H12&lt;0.01,H12&gt;-0.01),"lige på")</f>
        <v>under</v>
      </c>
      <c r="J12">
        <f>_xlfn.XLOOKUP(A12,'2026'!A:A,'2026'!P:P)</f>
        <v>6530593</v>
      </c>
      <c r="K12">
        <f>_xlfn.XLOOKUP(A12,'2026'!A:A,'2026'!G:G)</f>
        <v>6555846</v>
      </c>
      <c r="L12" s="21">
        <f t="shared" si="2"/>
        <v>0.38668770202032188</v>
      </c>
      <c r="M12" s="21" t="str" cm="1">
        <f t="array" ref="M12">_xlfn.IFS(L12&lt;-0.01,"under",L12&gt;0.01,"over",AND(L12&lt;0.01,L12&gt;-0.01),"lige på")</f>
        <v>over</v>
      </c>
      <c r="N12" t="str" cm="1">
        <f t="array" ref="N12">IFERROR(_xlfn.IFS(AND(E12="under",I12="under",M12="under"),"Under alle tre år",AND(E12="over",I12="over",M12="over"),"Over alle år"),"")</f>
        <v/>
      </c>
      <c r="O12" s="22">
        <f t="shared" si="3"/>
        <v>-0.3587789256595057</v>
      </c>
      <c r="P12">
        <f>SUM(IF(D12&gt;0.01,1),IF(H12&gt;0.01,1),IF(L12&gt;0.01,1))</f>
        <v>1</v>
      </c>
      <c r="Q12">
        <f>SUM(IF(D12&lt;-0.01,1),IF(H12&lt;-0.01,1),IF(L12&lt;-0.01,1))</f>
        <v>2</v>
      </c>
      <c r="R12">
        <f>SUM(IF(E12="lige på",1,0),IF(I12="lige på",1,0),IF(M12="lige på",1,0))</f>
        <v>0</v>
      </c>
      <c r="S12">
        <f t="shared" si="4"/>
        <v>3</v>
      </c>
    </row>
    <row r="13" spans="1:28" x14ac:dyDescent="0.25">
      <c r="A13" t="s">
        <v>68</v>
      </c>
      <c r="B13" s="21">
        <f>_xlfn.XLOOKUP(A13,'2024'!B:B,'2024'!D:D)*1.06915938074864</f>
        <v>215930.63601413756</v>
      </c>
      <c r="C13" s="21">
        <f>_xlfn.XLOOKUP(A13,'2023-2025'!D:D,'2023-2025'!T:T)*1.06915938074864</f>
        <v>218033.67251607013</v>
      </c>
      <c r="D13" s="21">
        <f t="shared" si="0"/>
        <v>0.97394077132939938</v>
      </c>
      <c r="E13" s="21" t="str" cm="1">
        <f t="array" ref="E13">_xlfn.IFS(D13&lt;0,"under",D13&gt;0.01,"over",AND(D13&lt;0.01,D13&gt;-0.01),"lige på")</f>
        <v>over</v>
      </c>
      <c r="F13">
        <f>_xlfn.XLOOKUP(A13,'2025'!B:B,'2025'!D:D)*1.031</f>
        <v>222181.53099999999</v>
      </c>
      <c r="G13">
        <f>_xlfn.XLOOKUP(A13,'2023-2025'!W:W,'2023-2025'!AE:AE)*1.031</f>
        <v>219001.927</v>
      </c>
      <c r="H13" s="21">
        <f t="shared" si="1"/>
        <v>-1.4310838464786673</v>
      </c>
      <c r="I13" s="21" t="str" cm="1">
        <f t="array" ref="I13">_xlfn.IFS(H13&lt;0,"under",H13&gt;0.01,"over",AND(H13&lt;0.01,H13&gt;-0.01),"lige på")</f>
        <v>under</v>
      </c>
      <c r="J13">
        <f>_xlfn.XLOOKUP(A13,'2026'!A:A,'2026'!P:P)</f>
        <v>220174</v>
      </c>
      <c r="K13">
        <f>_xlfn.XLOOKUP(A13,'2026'!A:A,'2026'!G:G)</f>
        <v>220526</v>
      </c>
      <c r="L13" s="21">
        <f t="shared" si="2"/>
        <v>0.15987355455230864</v>
      </c>
      <c r="M13" s="21" t="str" cm="1">
        <f t="array" ref="M13">_xlfn.IFS(L13&lt;-0.01,"under",L13&gt;0.01,"over",AND(L13&lt;0.01,L13&gt;-0.01),"lige på")</f>
        <v>over</v>
      </c>
      <c r="N13" t="str" cm="1">
        <f t="array" ref="N13">IFERROR(_xlfn.IFS(AND(E13="under",I13="under",M13="under"),"Under alle tre år",AND(E13="over",I13="over",M13="over"),"Over alle år"),"")</f>
        <v/>
      </c>
      <c r="O13" s="22">
        <f t="shared" si="3"/>
        <v>-9.9089840198986409E-2</v>
      </c>
      <c r="P13">
        <f>SUM(IF(D13&gt;0.01,1),IF(H13&gt;0.01,1),IF(L13&gt;0.01,1))</f>
        <v>2</v>
      </c>
      <c r="Q13">
        <f>SUM(IF(D13&lt;-0.01,1),IF(H13&lt;-0.01,1),IF(L13&lt;-0.01,1))</f>
        <v>1</v>
      </c>
      <c r="R13">
        <f>SUM(IF(E13="lige på",1,0),IF(I13="lige på",1,0),IF(M13="lige på",1,0))</f>
        <v>0</v>
      </c>
      <c r="S13">
        <f t="shared" si="4"/>
        <v>3</v>
      </c>
    </row>
    <row r="14" spans="1:28" x14ac:dyDescent="0.25">
      <c r="A14" t="s">
        <v>82</v>
      </c>
      <c r="B14" s="21">
        <f>_xlfn.XLOOKUP(A14,'2024'!B:B,'2024'!D:D)*1.06915938074864</f>
        <v>2539659.8098427043</v>
      </c>
      <c r="C14" s="21">
        <f>_xlfn.XLOOKUP(A14,'2023-2025'!D:D,'2023-2025'!T:T)*1.06915938074864</f>
        <v>2560296.7242099144</v>
      </c>
      <c r="D14" s="21">
        <f t="shared" si="0"/>
        <v>0.81258577574955926</v>
      </c>
      <c r="E14" s="21" t="str" cm="1">
        <f t="array" ref="E14">_xlfn.IFS(D14&lt;0,"under",D14&gt;0.01,"over",AND(D14&lt;0.01,D14&gt;-0.01),"lige på")</f>
        <v>over</v>
      </c>
      <c r="F14">
        <f>_xlfn.XLOOKUP(A14,'2025'!B:B,'2025'!D:D)*1.031</f>
        <v>2616049.09</v>
      </c>
      <c r="G14">
        <f>_xlfn.XLOOKUP(A14,'2023-2025'!W:W,'2023-2025'!AE:AE)*1.031</f>
        <v>2603879.1659999997</v>
      </c>
      <c r="H14" s="21">
        <f t="shared" si="1"/>
        <v>-0.46520243242072024</v>
      </c>
      <c r="I14" s="21" t="str" cm="1">
        <f t="array" ref="I14">_xlfn.IFS(H14&lt;0,"under",H14&gt;0.01,"over",AND(H14&lt;0.01,H14&gt;-0.01),"lige på")</f>
        <v>under</v>
      </c>
      <c r="J14">
        <f>_xlfn.XLOOKUP(A14,'2026'!A:A,'2026'!P:P)</f>
        <v>2622368</v>
      </c>
      <c r="K14">
        <f>_xlfn.XLOOKUP(A14,'2026'!A:A,'2026'!G:G)</f>
        <v>2617404</v>
      </c>
      <c r="L14" s="21">
        <f t="shared" si="2"/>
        <v>-0.18929456125151006</v>
      </c>
      <c r="M14" s="21" t="str" cm="1">
        <f t="array" ref="M14">_xlfn.IFS(L14&lt;-0.01,"under",L14&gt;0.01,"over",AND(L14&lt;0.01,L14&gt;-0.01),"lige på")</f>
        <v>under</v>
      </c>
      <c r="N14" t="str" cm="1">
        <f t="array" ref="N14">IFERROR(_xlfn.IFS(AND(E14="under",I14="under",M14="under"),"Under alle tre år",AND(E14="over",I14="over",M14="over"),"Over alle år"),"")</f>
        <v/>
      </c>
      <c r="O14" s="22">
        <f t="shared" si="3"/>
        <v>5.2696260692443007E-2</v>
      </c>
      <c r="P14">
        <f>SUM(IF(D14&gt;0.01,1),IF(H14&gt;0.01,1),IF(L14&gt;0.01,1))</f>
        <v>1</v>
      </c>
      <c r="Q14">
        <f>SUM(IF(D14&lt;-0.01,1),IF(H14&lt;-0.01,1),IF(L14&lt;-0.01,1))</f>
        <v>2</v>
      </c>
      <c r="R14">
        <f>SUM(IF(E14="lige på",1,0),IF(I14="lige på",1,0),IF(M14="lige på",1,0))</f>
        <v>0</v>
      </c>
      <c r="S14">
        <f t="shared" si="4"/>
        <v>3</v>
      </c>
    </row>
    <row r="15" spans="1:28" x14ac:dyDescent="0.25">
      <c r="A15" t="s">
        <v>41</v>
      </c>
      <c r="B15" s="21">
        <f>_xlfn.XLOOKUP(A15,'2024'!B:B,'2024'!D:D)*1.06915938074864</f>
        <v>2071793.5265083381</v>
      </c>
      <c r="C15" s="21">
        <f>_xlfn.XLOOKUP(A15,'2023-2025'!D:D,'2023-2025'!T:T)*1.06915938074864</f>
        <v>2064685.754945121</v>
      </c>
      <c r="D15" s="21">
        <f t="shared" si="0"/>
        <v>-0.34307335515214227</v>
      </c>
      <c r="E15" s="21" t="str" cm="1">
        <f t="array" ref="E15">_xlfn.IFS(D15&lt;0,"under",D15&gt;0.01,"over",AND(D15&lt;0.01,D15&gt;-0.01),"lige på")</f>
        <v>under</v>
      </c>
      <c r="F15">
        <f>_xlfn.XLOOKUP(A15,'2025'!B:B,'2025'!D:D)*1.031</f>
        <v>2110342.5589999999</v>
      </c>
      <c r="G15">
        <f>_xlfn.XLOOKUP(A15,'2023-2025'!W:W,'2023-2025'!AE:AE)*1.031</f>
        <v>2123849.69</v>
      </c>
      <c r="H15" s="21">
        <f t="shared" si="1"/>
        <v>0.64004447725304359</v>
      </c>
      <c r="I15" s="21" t="str" cm="1">
        <f t="array" ref="I15">_xlfn.IFS(H15&lt;0,"under",H15&gt;0.01,"over",AND(H15&lt;0.01,H15&gt;-0.01),"lige på")</f>
        <v>over</v>
      </c>
      <c r="J15">
        <f>_xlfn.XLOOKUP(A15,'2026'!A:A,'2026'!P:P)</f>
        <v>2139392</v>
      </c>
      <c r="K15">
        <f>_xlfn.XLOOKUP(A15,'2026'!A:A,'2026'!G:G)</f>
        <v>2146243</v>
      </c>
      <c r="L15" s="21">
        <f t="shared" si="2"/>
        <v>0.32023116848151251</v>
      </c>
      <c r="M15" s="21" t="str" cm="1">
        <f t="array" ref="M15">_xlfn.IFS(L15&lt;-0.01,"under",L15&gt;0.01,"over",AND(L15&lt;0.01,L15&gt;-0.01),"lige på")</f>
        <v>over</v>
      </c>
      <c r="N15" t="str" cm="1">
        <f t="array" ref="N15">IFERROR(_xlfn.IFS(AND(E15="under",I15="under",M15="under"),"Under alle tre år",AND(E15="over",I15="over",M15="over"),"Over alle år"),"")</f>
        <v/>
      </c>
      <c r="O15" s="22">
        <f t="shared" si="3"/>
        <v>0.20573409686080457</v>
      </c>
      <c r="P15">
        <f>SUM(IF(D15&gt;0.01,1),IF(H15&gt;0.01,1),IF(L15&gt;0.01,1))</f>
        <v>2</v>
      </c>
      <c r="Q15">
        <f>SUM(IF(D15&lt;-0.01,1),IF(H15&lt;-0.01,1),IF(L15&lt;-0.01,1))</f>
        <v>1</v>
      </c>
      <c r="R15">
        <f>SUM(IF(E15="lige på",1,0),IF(I15="lige på",1,0),IF(M15="lige på",1,0))</f>
        <v>0</v>
      </c>
      <c r="S15">
        <f t="shared" si="4"/>
        <v>3</v>
      </c>
    </row>
    <row r="16" spans="1:28" x14ac:dyDescent="0.25">
      <c r="A16" t="s">
        <v>26</v>
      </c>
      <c r="B16" s="21">
        <f>_xlfn.XLOOKUP(A16,'2024'!B:B,'2024'!D:D)*1.06915938074864</f>
        <v>2498890.6243359973</v>
      </c>
      <c r="C16" s="21">
        <f>_xlfn.XLOOKUP(A16,'2023-2025'!D:D,'2023-2025'!T:T)*1.06915938074864</f>
        <v>2527841.3220479088</v>
      </c>
      <c r="D16" s="21">
        <f t="shared" si="0"/>
        <v>1.1585420118019079</v>
      </c>
      <c r="E16" s="21" t="str" cm="1">
        <f t="array" ref="E16">_xlfn.IFS(D16&lt;0,"under",D16&gt;0.01,"over",AND(D16&lt;0.01,D16&gt;-0.01),"lige på")</f>
        <v>over</v>
      </c>
      <c r="F16">
        <f>_xlfn.XLOOKUP(A16,'2025'!B:B,'2025'!D:D)*1.031</f>
        <v>2579768.1999999997</v>
      </c>
      <c r="G16">
        <f>_xlfn.XLOOKUP(A16,'2023-2025'!W:W,'2023-2025'!AE:AE)*1.031</f>
        <v>2579909.4469999997</v>
      </c>
      <c r="H16" s="21">
        <f t="shared" si="1"/>
        <v>5.475181839979807E-3</v>
      </c>
      <c r="I16" s="21" t="str" cm="1">
        <f t="array" ref="I16">_xlfn.IFS(H16&lt;0,"under",H16&gt;0.01,"over",AND(H16&lt;0.01,H16&gt;-0.01),"lige på")</f>
        <v>lige på</v>
      </c>
      <c r="J16">
        <f>_xlfn.XLOOKUP(A16,'2026'!A:A,'2026'!P:P)</f>
        <v>2596289</v>
      </c>
      <c r="K16">
        <f>_xlfn.XLOOKUP(A16,'2026'!A:A,'2026'!G:G)</f>
        <v>2596239</v>
      </c>
      <c r="L16" s="21">
        <f t="shared" si="2"/>
        <v>-1.9258256688681422E-3</v>
      </c>
      <c r="M16" s="21" t="str" cm="1">
        <f t="array" ref="M16">_xlfn.IFS(L16&lt;-0.01,"under",L16&gt;0.01,"over",AND(L16&lt;0.01,L16&gt;-0.01),"lige på")</f>
        <v>lige på</v>
      </c>
      <c r="N16" t="str" cm="1">
        <f t="array" ref="N16">IFERROR(_xlfn.IFS(AND(E16="under",I16="under",M16="under"),"Under alle tre år",AND(E16="over",I16="over",M16="over"),"Over alle år"),"")</f>
        <v/>
      </c>
      <c r="O16" s="22">
        <f t="shared" si="3"/>
        <v>0.38736378932433985</v>
      </c>
      <c r="P16">
        <f>SUM(IF(D16&gt;0.01,1),IF(H16&gt;0.01,1),IF(L16&gt;0.01,1))</f>
        <v>1</v>
      </c>
      <c r="Q16">
        <f>SUM(IF(D16&lt;-0.01,1),IF(H16&lt;-0.01,1),IF(L16&lt;-0.01,1))</f>
        <v>0</v>
      </c>
      <c r="R16">
        <f>SUM(IF(E16="lige på",1,0),IF(I16="lige på",1,0),IF(M16="lige på",1,0))</f>
        <v>2</v>
      </c>
      <c r="S16">
        <f t="shared" si="4"/>
        <v>3</v>
      </c>
    </row>
    <row r="17" spans="1:19" x14ac:dyDescent="0.25">
      <c r="A17" t="s">
        <v>72</v>
      </c>
      <c r="B17" s="21">
        <f>_xlfn.XLOOKUP(A17,'2024'!B:B,'2024'!D:D)*1.06915938074864</f>
        <v>2963359.1191583443</v>
      </c>
      <c r="C17" s="21">
        <f>_xlfn.XLOOKUP(A17,'2023-2025'!D:D,'2023-2025'!T:T)*1.06915938074864</f>
        <v>3016231.188855126</v>
      </c>
      <c r="D17" s="21">
        <f t="shared" si="0"/>
        <v>1.7841938007094618</v>
      </c>
      <c r="E17" s="21" t="str" cm="1">
        <f t="array" ref="E17">_xlfn.IFS(D17&lt;0,"under",D17&gt;0.01,"over",AND(D17&lt;0.01,D17&gt;-0.01),"lige på")</f>
        <v>over</v>
      </c>
      <c r="F17">
        <f>_xlfn.XLOOKUP(A17,'2025'!B:B,'2025'!D:D)*1.031</f>
        <v>3083682.8529999997</v>
      </c>
      <c r="G17">
        <f>_xlfn.XLOOKUP(A17,'2023-2025'!W:W,'2023-2025'!AE:AE)*1.031</f>
        <v>3132921.3509999998</v>
      </c>
      <c r="H17" s="21">
        <f t="shared" si="1"/>
        <v>1.5967432562689721</v>
      </c>
      <c r="I17" s="21" t="str" cm="1">
        <f t="array" ref="I17">_xlfn.IFS(H17&lt;0,"under",H17&gt;0.01,"over",AND(H17&lt;0.01,H17&gt;-0.01),"lige på")</f>
        <v>over</v>
      </c>
      <c r="J17">
        <f>_xlfn.XLOOKUP(A17,'2026'!A:A,'2026'!P:P)</f>
        <v>3156068</v>
      </c>
      <c r="K17">
        <f>_xlfn.XLOOKUP(A17,'2026'!A:A,'2026'!G:G)</f>
        <v>3142522</v>
      </c>
      <c r="L17" s="21">
        <f t="shared" si="2"/>
        <v>-0.42920494742191867</v>
      </c>
      <c r="M17" s="21" t="str" cm="1">
        <f t="array" ref="M17">_xlfn.IFS(L17&lt;-0.01,"under",L17&gt;0.01,"over",AND(L17&lt;0.01,L17&gt;-0.01),"lige på")</f>
        <v>under</v>
      </c>
      <c r="N17" t="str" cm="1">
        <f t="array" ref="N17">IFERROR(_xlfn.IFS(AND(E17="under",I17="under",M17="under"),"Under alle tre år",AND(E17="over",I17="over",M17="over"),"Over alle år"),"")</f>
        <v/>
      </c>
      <c r="O17" s="22">
        <f t="shared" si="3"/>
        <v>0.98391070318550511</v>
      </c>
      <c r="P17">
        <f>SUM(IF(D17&gt;0.01,1),IF(H17&gt;0.01,1),IF(L17&gt;0.01,1))</f>
        <v>2</v>
      </c>
      <c r="Q17">
        <f>SUM(IF(D17&lt;-0.01,1),IF(H17&lt;-0.01,1),IF(L17&lt;-0.01,1))</f>
        <v>1</v>
      </c>
      <c r="R17">
        <f>SUM(IF(E17="lige på",1,0),IF(I17="lige på",1,0),IF(M17="lige på",1,0))</f>
        <v>0</v>
      </c>
      <c r="S17">
        <f t="shared" si="4"/>
        <v>3</v>
      </c>
    </row>
    <row r="18" spans="1:19" x14ac:dyDescent="0.25">
      <c r="A18" t="s">
        <v>8</v>
      </c>
      <c r="B18" s="21">
        <f>_xlfn.XLOOKUP(A18,'2024'!B:B,'2024'!D:D)*1.06915938074864</f>
        <v>5042069.0377007453</v>
      </c>
      <c r="C18" s="21">
        <f>_xlfn.XLOOKUP(A18,'2023-2025'!D:D,'2023-2025'!T:T)*1.06915938074864</f>
        <v>5066206.3798805261</v>
      </c>
      <c r="D18" s="21">
        <f t="shared" si="0"/>
        <v>0.47871899411333318</v>
      </c>
      <c r="E18" s="21" t="str" cm="1">
        <f t="array" ref="E18">_xlfn.IFS(D18&lt;0,"under",D18&gt;0.01,"over",AND(D18&lt;0.01,D18&gt;-0.01),"lige på")</f>
        <v>over</v>
      </c>
      <c r="F18">
        <f>_xlfn.XLOOKUP(A18,'2025'!B:B,'2025'!D:D)*1.031</f>
        <v>5178780.0149999997</v>
      </c>
      <c r="G18">
        <f>_xlfn.XLOOKUP(A18,'2023-2025'!W:W,'2023-2025'!AE:AE)*1.031</f>
        <v>5178778.9839999992</v>
      </c>
      <c r="H18" s="21">
        <f t="shared" si="1"/>
        <v>-1.9908163649323944E-5</v>
      </c>
      <c r="I18" s="21" t="str" cm="1">
        <f t="array" ref="I18">_xlfn.IFS(H18&lt;0,"under",H18&gt;0.01,"over",AND(H18&lt;0.01,H18&gt;-0.01),"lige på")</f>
        <v>under</v>
      </c>
      <c r="J18">
        <f>_xlfn.XLOOKUP(A18,'2026'!A:A,'2026'!P:P)</f>
        <v>5216664</v>
      </c>
      <c r="K18">
        <f>_xlfn.XLOOKUP(A18,'2026'!A:A,'2026'!G:G)</f>
        <v>5216656</v>
      </c>
      <c r="L18" s="21">
        <f t="shared" si="2"/>
        <v>-1.5335471098004396E-4</v>
      </c>
      <c r="M18" s="21" t="str" cm="1">
        <f t="array" ref="M18">_xlfn.IFS(L18&lt;-0.01,"under",L18&gt;0.01,"over",AND(L18&lt;0.01,L18&gt;-0.01),"lige på")</f>
        <v>lige på</v>
      </c>
      <c r="N18" t="str" cm="1">
        <f t="array" ref="N18">IFERROR(_xlfn.IFS(AND(E18="under",I18="under",M18="under"),"Under alle tre år",AND(E18="over",I18="over",M18="over"),"Over alle år"),"")</f>
        <v/>
      </c>
      <c r="O18" s="22">
        <f t="shared" si="3"/>
        <v>0.1595152437462346</v>
      </c>
      <c r="P18">
        <f>SUM(IF(D18&gt;0.01,1),IF(H18&gt;0.01,1),IF(L18&gt;0.01,1))</f>
        <v>1</v>
      </c>
      <c r="Q18">
        <f>SUM(IF(D18&lt;-0.01,1),IF(H18&lt;-0.01,1),IF(L18&lt;-0.01,1))</f>
        <v>0</v>
      </c>
      <c r="R18">
        <f>SUM(IF(E18="lige på",1,0),IF(I18="lige på",1,0),IF(M18="lige på",1,0))</f>
        <v>1</v>
      </c>
      <c r="S18">
        <f t="shared" si="4"/>
        <v>2</v>
      </c>
    </row>
    <row r="19" spans="1:19" x14ac:dyDescent="0.25">
      <c r="A19" t="s">
        <v>97</v>
      </c>
      <c r="B19" s="21">
        <f>_xlfn.XLOOKUP(A19,'2024'!B:B,'2024'!D:D)*1.06915938074864</f>
        <v>3368448.6402926734</v>
      </c>
      <c r="C19" s="21">
        <f>_xlfn.XLOOKUP(A19,'2023-2025'!D:D,'2023-2025'!T:T)*1.06915938074864</f>
        <v>3309828.7697649873</v>
      </c>
      <c r="D19" s="21">
        <f t="shared" si="0"/>
        <v>-1.7402631533842476</v>
      </c>
      <c r="E19" s="21" t="str" cm="1">
        <f t="array" ref="E19">_xlfn.IFS(D19&lt;0,"under",D19&gt;0.01,"over",AND(D19&lt;0.01,D19&gt;-0.01),"lige på")</f>
        <v>under</v>
      </c>
      <c r="F19">
        <f>_xlfn.XLOOKUP(A19,'2025'!B:B,'2025'!D:D)*1.031</f>
        <v>3384752.38</v>
      </c>
      <c r="G19">
        <f>_xlfn.XLOOKUP(A19,'2023-2025'!W:W,'2023-2025'!AE:AE)*1.031</f>
        <v>3289262.1909999996</v>
      </c>
      <c r="H19" s="21">
        <f t="shared" si="1"/>
        <v>-2.8211868485339613</v>
      </c>
      <c r="I19" s="21" t="str" cm="1">
        <f t="array" ref="I19">_xlfn.IFS(H19&lt;0,"under",H19&gt;0.01,"over",AND(H19&lt;0.01,H19&gt;-0.01),"lige på")</f>
        <v>under</v>
      </c>
      <c r="J19">
        <f>_xlfn.XLOOKUP(A19,'2026'!A:A,'2026'!P:P)</f>
        <v>3314985</v>
      </c>
      <c r="K19">
        <f>_xlfn.XLOOKUP(A19,'2026'!A:A,'2026'!G:G)</f>
        <v>3261899</v>
      </c>
      <c r="L19" s="21">
        <f t="shared" si="2"/>
        <v>-1.6013948781065375</v>
      </c>
      <c r="M19" s="21" t="str" cm="1">
        <f t="array" ref="M19">_xlfn.IFS(L19&lt;-0.01,"under",L19&gt;0.01,"over",AND(L19&lt;0.01,L19&gt;-0.01),"lige på")</f>
        <v>under</v>
      </c>
      <c r="N19" t="str" cm="1">
        <f t="array" ref="N19">IFERROR(_xlfn.IFS(AND(E19="under",I19="under",M19="under"),"Under alle tre år",AND(E19="over",I19="over",M19="over"),"Over alle år"),"")</f>
        <v>Under alle tre år</v>
      </c>
      <c r="O19" s="22">
        <f t="shared" si="3"/>
        <v>-2.0542816266749155</v>
      </c>
      <c r="P19">
        <f>SUM(IF(D19&gt;0.01,1),IF(H19&gt;0.01,1),IF(L19&gt;0.01,1))</f>
        <v>0</v>
      </c>
      <c r="Q19">
        <f>SUM(IF(D19&lt;-0.01,1),IF(H19&lt;-0.01,1),IF(L19&lt;-0.01,1))</f>
        <v>3</v>
      </c>
      <c r="R19">
        <f>SUM(IF(E19="lige på",1,0),IF(I19="lige på",1,0),IF(M19="lige på",1,0))</f>
        <v>0</v>
      </c>
      <c r="S19">
        <f t="shared" si="4"/>
        <v>3</v>
      </c>
    </row>
    <row r="20" spans="1:19" x14ac:dyDescent="0.25">
      <c r="A20" t="s">
        <v>32</v>
      </c>
      <c r="B20" s="21">
        <f>_xlfn.XLOOKUP(A20,'2024'!B:B,'2024'!D:D)*1.06915938074864</f>
        <v>2667377.3128294139</v>
      </c>
      <c r="C20" s="21">
        <f>_xlfn.XLOOKUP(A20,'2023-2025'!D:D,'2023-2025'!T:T)*1.06915938074864</f>
        <v>2686918.3388313567</v>
      </c>
      <c r="D20" s="21">
        <f t="shared" si="0"/>
        <v>0.73259324460605513</v>
      </c>
      <c r="E20" s="21" t="str" cm="1">
        <f t="array" ref="E20">_xlfn.IFS(D20&lt;0,"under",D20&gt;0.01,"over",AND(D20&lt;0.01,D20&gt;-0.01),"lige på")</f>
        <v>over</v>
      </c>
      <c r="F20">
        <f>_xlfn.XLOOKUP(A20,'2025'!B:B,'2025'!D:D)*1.031</f>
        <v>2742988.9029999999</v>
      </c>
      <c r="G20">
        <f>_xlfn.XLOOKUP(A20,'2023-2025'!W:W,'2023-2025'!AE:AE)*1.031</f>
        <v>2743014.6779999998</v>
      </c>
      <c r="H20" s="21">
        <f t="shared" si="1"/>
        <v>9.396684022934549E-4</v>
      </c>
      <c r="I20" s="21" t="str" cm="1">
        <f t="array" ref="I20">_xlfn.IFS(H20&lt;0,"under",H20&gt;0.01,"over",AND(H20&lt;0.01,H20&gt;-0.01),"lige på")</f>
        <v>lige på</v>
      </c>
      <c r="J20">
        <f>_xlfn.XLOOKUP(A20,'2026'!A:A,'2026'!P:P)</f>
        <v>2761000</v>
      </c>
      <c r="K20">
        <f>_xlfn.XLOOKUP(A20,'2026'!A:A,'2026'!G:G)</f>
        <v>2761003</v>
      </c>
      <c r="L20" s="21">
        <f t="shared" si="2"/>
        <v>1.0865628395508874E-4</v>
      </c>
      <c r="M20" s="21" t="str" cm="1">
        <f t="array" ref="M20">_xlfn.IFS(L20&lt;-0.01,"under",L20&gt;0.01,"over",AND(L20&lt;0.01,L20&gt;-0.01),"lige på")</f>
        <v>lige på</v>
      </c>
      <c r="N20" t="str" cm="1">
        <f t="array" ref="N20">IFERROR(_xlfn.IFS(AND(E20="under",I20="under",M20="under"),"Under alle tre år",AND(E20="over",I20="over",M20="over"),"Over alle år"),"")</f>
        <v/>
      </c>
      <c r="O20" s="22">
        <f t="shared" si="3"/>
        <v>0.2445471897641012</v>
      </c>
      <c r="P20">
        <f>SUM(IF(D20&gt;0.01,1),IF(H20&gt;0.01,1),IF(L20&gt;0.01,1))</f>
        <v>1</v>
      </c>
      <c r="Q20">
        <f>SUM(IF(D20&lt;-0.01,1),IF(H20&lt;-0.01,1),IF(L20&lt;-0.01,1))</f>
        <v>0</v>
      </c>
      <c r="R20">
        <f>SUM(IF(E20="lige på",1,0),IF(I20="lige på",1,0),IF(M20="lige på",1,0))</f>
        <v>2</v>
      </c>
      <c r="S20">
        <f t="shared" si="4"/>
        <v>3</v>
      </c>
    </row>
    <row r="21" spans="1:19" x14ac:dyDescent="0.25">
      <c r="A21" t="s">
        <v>24</v>
      </c>
      <c r="B21" s="21">
        <f>_xlfn.XLOOKUP(A21,'2024'!B:B,'2024'!D:D)*1.06915938074864</f>
        <v>2488586.0662243417</v>
      </c>
      <c r="C21" s="21">
        <f>_xlfn.XLOOKUP(A21,'2023-2025'!D:D,'2023-2025'!T:T)*1.06915938074864</f>
        <v>2508343.0624211957</v>
      </c>
      <c r="D21" s="21">
        <f t="shared" si="0"/>
        <v>0.79390447712459655</v>
      </c>
      <c r="E21" s="21" t="str" cm="1">
        <f t="array" ref="E21">_xlfn.IFS(D21&lt;0,"under",D21&gt;0.01,"over",AND(D21&lt;0.01,D21&gt;-0.01),"lige på")</f>
        <v>over</v>
      </c>
      <c r="F21">
        <f>_xlfn.XLOOKUP(A21,'2025'!B:B,'2025'!D:D)*1.031</f>
        <v>2559354.4</v>
      </c>
      <c r="G21">
        <f>_xlfn.XLOOKUP(A21,'2023-2025'!W:W,'2023-2025'!AE:AE)*1.031</f>
        <v>2564513.5239999997</v>
      </c>
      <c r="H21" s="21">
        <f t="shared" si="1"/>
        <v>0.2015791169835579</v>
      </c>
      <c r="I21" s="21" t="str" cm="1">
        <f t="array" ref="I21">_xlfn.IFS(H21&lt;0,"under",H21&gt;0.01,"over",AND(H21&lt;0.01,H21&gt;-0.01),"lige på")</f>
        <v>over</v>
      </c>
      <c r="J21">
        <f>_xlfn.XLOOKUP(A21,'2026'!A:A,'2026'!P:P)</f>
        <v>2580521</v>
      </c>
      <c r="K21">
        <f>_xlfn.XLOOKUP(A21,'2026'!A:A,'2026'!G:G)</f>
        <v>2531579</v>
      </c>
      <c r="L21" s="21">
        <f t="shared" si="2"/>
        <v>-1.8965937498667904</v>
      </c>
      <c r="M21" s="21" t="str" cm="1">
        <f t="array" ref="M21">_xlfn.IFS(L21&lt;-0.01,"under",L21&gt;0.01,"over",AND(L21&lt;0.01,L21&gt;-0.01),"lige på")</f>
        <v>under</v>
      </c>
      <c r="N21" t="str" cm="1">
        <f t="array" ref="N21">IFERROR(_xlfn.IFS(AND(E21="under",I21="under",M21="under"),"Under alle tre år",AND(E21="over",I21="over",M21="over"),"Over alle år"),"")</f>
        <v/>
      </c>
      <c r="O21" s="22">
        <f t="shared" si="3"/>
        <v>-0.3003700519195453</v>
      </c>
      <c r="P21">
        <f>SUM(IF(D21&gt;0.01,1),IF(H21&gt;0.01,1),IF(L21&gt;0.01,1))</f>
        <v>2</v>
      </c>
      <c r="Q21">
        <f>SUM(IF(D21&lt;-0.01,1),IF(H21&lt;-0.01,1),IF(L21&lt;-0.01,1))</f>
        <v>1</v>
      </c>
      <c r="R21">
        <f>SUM(IF(E21="lige på",1,0),IF(I21="lige på",1,0),IF(M21="lige på",1,0))</f>
        <v>0</v>
      </c>
      <c r="S21">
        <f t="shared" si="4"/>
        <v>3</v>
      </c>
    </row>
    <row r="22" spans="1:19" x14ac:dyDescent="0.25">
      <c r="A22" t="s">
        <v>55</v>
      </c>
      <c r="B22" s="21">
        <f>_xlfn.XLOOKUP(A22,'2024'!B:B,'2024'!D:D)*1.06915938074864</f>
        <v>2888961.6636489504</v>
      </c>
      <c r="C22" s="21">
        <f>_xlfn.XLOOKUP(A22,'2023-2025'!D:D,'2023-2025'!T:T)*1.06915938074864</f>
        <v>2895569.0686219768</v>
      </c>
      <c r="D22" s="21">
        <f t="shared" si="0"/>
        <v>0.22871210290415461</v>
      </c>
      <c r="E22" s="21" t="str" cm="1">
        <f t="array" ref="E22">_xlfn.IFS(D22&lt;0,"under",D22&gt;0.01,"over",AND(D22&lt;0.01,D22&gt;-0.01),"lige på")</f>
        <v>over</v>
      </c>
      <c r="F22">
        <f>_xlfn.XLOOKUP(A22,'2025'!B:B,'2025'!D:D)*1.031</f>
        <v>2959752.5289999996</v>
      </c>
      <c r="G22">
        <f>_xlfn.XLOOKUP(A22,'2023-2025'!W:W,'2023-2025'!AE:AE)*1.031</f>
        <v>2956263.6249999995</v>
      </c>
      <c r="H22" s="21">
        <f t="shared" si="1"/>
        <v>-0.11787823359606621</v>
      </c>
      <c r="I22" s="21" t="str" cm="1">
        <f t="array" ref="I22">_xlfn.IFS(H22&lt;0,"under",H22&gt;0.01,"over",AND(H22&lt;0.01,H22&gt;-0.01),"lige på")</f>
        <v>under</v>
      </c>
      <c r="J22">
        <f>_xlfn.XLOOKUP(A22,'2026'!A:A,'2026'!P:P)</f>
        <v>2977992</v>
      </c>
      <c r="K22">
        <f>_xlfn.XLOOKUP(A22,'2026'!A:A,'2026'!G:G)</f>
        <v>2993529</v>
      </c>
      <c r="L22" s="21">
        <f t="shared" si="2"/>
        <v>0.5217273921488037</v>
      </c>
      <c r="M22" s="21" t="str" cm="1">
        <f t="array" ref="M22">_xlfn.IFS(L22&lt;-0.01,"under",L22&gt;0.01,"over",AND(L22&lt;0.01,L22&gt;-0.01),"lige på")</f>
        <v>over</v>
      </c>
      <c r="N22" t="str" cm="1">
        <f t="array" ref="N22">IFERROR(_xlfn.IFS(AND(E22="under",I22="under",M22="under"),"Under alle tre år",AND(E22="over",I22="over",M22="over"),"Over alle år"),"")</f>
        <v/>
      </c>
      <c r="O22" s="22">
        <f t="shared" si="3"/>
        <v>0.21085375381896401</v>
      </c>
      <c r="P22">
        <f>SUM(IF(D22&gt;0.01,1),IF(H22&gt;0.01,1),IF(L22&gt;0.01,1))</f>
        <v>2</v>
      </c>
      <c r="Q22">
        <f>SUM(IF(D22&lt;-0.01,1),IF(H22&lt;-0.01,1),IF(L22&lt;-0.01,1))</f>
        <v>1</v>
      </c>
      <c r="R22">
        <f>SUM(IF(E22="lige på",1,0),IF(I22="lige på",1,0),IF(M22="lige på",1,0))</f>
        <v>0</v>
      </c>
      <c r="S22">
        <f t="shared" si="4"/>
        <v>3</v>
      </c>
    </row>
    <row r="23" spans="1:19" x14ac:dyDescent="0.25">
      <c r="A23" t="s">
        <v>12</v>
      </c>
      <c r="B23" s="21">
        <f>_xlfn.XLOOKUP(A23,'2024'!B:B,'2024'!D:D)*1.06915938074864</f>
        <v>4354582.4493292775</v>
      </c>
      <c r="C23" s="21">
        <f>_xlfn.XLOOKUP(A23,'2023-2025'!D:D,'2023-2025'!T:T)*1.06915938074864</f>
        <v>4388295.1829230441</v>
      </c>
      <c r="D23" s="21">
        <f t="shared" si="0"/>
        <v>0.77418981006914322</v>
      </c>
      <c r="E23" s="21" t="str" cm="1">
        <f t="array" ref="E23">_xlfn.IFS(D23&lt;0,"under",D23&gt;0.01,"over",AND(D23&lt;0.01,D23&gt;-0.01),"lige på")</f>
        <v>over</v>
      </c>
      <c r="F23">
        <f>_xlfn.XLOOKUP(A23,'2025'!B:B,'2025'!D:D)*1.031</f>
        <v>4475213.2429999998</v>
      </c>
      <c r="G23">
        <f>_xlfn.XLOOKUP(A23,'2023-2025'!W:W,'2023-2025'!AE:AE)*1.031</f>
        <v>4474568.8679999998</v>
      </c>
      <c r="H23" s="21">
        <f t="shared" si="1"/>
        <v>-1.4398755210333561E-2</v>
      </c>
      <c r="I23" s="21" t="str" cm="1">
        <f t="array" ref="I23">_xlfn.IFS(H23&lt;0,"under",H23&gt;0.01,"over",AND(H23&lt;0.01,H23&gt;-0.01),"lige på")</f>
        <v>under</v>
      </c>
      <c r="J23">
        <f>_xlfn.XLOOKUP(A23,'2026'!A:A,'2026'!P:P)</f>
        <v>4500668</v>
      </c>
      <c r="K23">
        <f>_xlfn.XLOOKUP(A23,'2026'!A:A,'2026'!G:G)</f>
        <v>4500643</v>
      </c>
      <c r="L23" s="21">
        <f t="shared" si="2"/>
        <v>-5.5547309866002114E-4</v>
      </c>
      <c r="M23" s="21" t="str" cm="1">
        <f t="array" ref="M23">_xlfn.IFS(L23&lt;-0.01,"under",L23&gt;0.01,"over",AND(L23&lt;0.01,L23&gt;-0.01),"lige på")</f>
        <v>lige på</v>
      </c>
      <c r="N23" t="str" cm="1">
        <f t="array" ref="N23">IFERROR(_xlfn.IFS(AND(E23="under",I23="under",M23="under"),"Under alle tre år",AND(E23="over",I23="over",M23="over"),"Over alle år"),"")</f>
        <v/>
      </c>
      <c r="O23" s="22">
        <f t="shared" si="3"/>
        <v>0.2530785272533832</v>
      </c>
      <c r="P23">
        <f>SUM(IF(D23&gt;0.01,1),IF(H23&gt;0.01,1),IF(L23&gt;0.01,1))</f>
        <v>1</v>
      </c>
      <c r="Q23">
        <f>SUM(IF(D23&lt;-0.01,1),IF(H23&lt;-0.01,1),IF(L23&lt;-0.01,1))</f>
        <v>1</v>
      </c>
      <c r="R23">
        <f>SUM(IF(E23="lige på",1,0),IF(I23="lige på",1,0),IF(M23="lige på",1,0))</f>
        <v>1</v>
      </c>
      <c r="S23">
        <f t="shared" si="4"/>
        <v>3</v>
      </c>
    </row>
    <row r="24" spans="1:19" x14ac:dyDescent="0.25">
      <c r="A24" t="s">
        <v>13</v>
      </c>
      <c r="B24" s="21">
        <f>_xlfn.XLOOKUP(A24,'2024'!B:B,'2024'!D:D)*1.06915938074864</f>
        <v>4298130.8340257499</v>
      </c>
      <c r="C24" s="21">
        <f>_xlfn.XLOOKUP(A24,'2023-2025'!D:D,'2023-2025'!T:T)*1.06915938074864</f>
        <v>4374916.7915917365</v>
      </c>
      <c r="D24" s="21">
        <f t="shared" si="0"/>
        <v>1.7864965151390393</v>
      </c>
      <c r="E24" s="21" t="str" cm="1">
        <f t="array" ref="E24">_xlfn.IFS(D24&lt;0,"under",D24&gt;0.01,"over",AND(D24&lt;0.01,D24&gt;-0.01),"lige på")</f>
        <v>over</v>
      </c>
      <c r="F24">
        <f>_xlfn.XLOOKUP(A24,'2025'!B:B,'2025'!D:D)*1.031</f>
        <v>4465065.1099999994</v>
      </c>
      <c r="G24">
        <f>_xlfn.XLOOKUP(A24,'2023-2025'!W:W,'2023-2025'!AE:AE)*1.031</f>
        <v>4438485.93</v>
      </c>
      <c r="H24" s="21">
        <f t="shared" si="1"/>
        <v>-0.59526970705248472</v>
      </c>
      <c r="I24" s="21" t="str" cm="1">
        <f t="array" ref="I24">_xlfn.IFS(H24&lt;0,"under",H24&gt;0.01,"over",AND(H24&lt;0.01,H24&gt;-0.01),"lige på")</f>
        <v>under</v>
      </c>
      <c r="J24">
        <f>_xlfn.XLOOKUP(A24,'2026'!A:A,'2026'!P:P)</f>
        <v>4467013</v>
      </c>
      <c r="K24">
        <f>_xlfn.XLOOKUP(A24,'2026'!A:A,'2026'!G:G)</f>
        <v>4466000</v>
      </c>
      <c r="L24" s="21">
        <f t="shared" si="2"/>
        <v>-2.2677346137116684E-2</v>
      </c>
      <c r="M24" s="21" t="str" cm="1">
        <f t="array" ref="M24">_xlfn.IFS(L24&lt;-0.01,"under",L24&gt;0.01,"over",AND(L24&lt;0.01,L24&gt;-0.01),"lige på")</f>
        <v>under</v>
      </c>
      <c r="N24" t="str" cm="1">
        <f t="array" ref="N24">IFERROR(_xlfn.IFS(AND(E24="under",I24="under",M24="under"),"Under alle tre år",AND(E24="over",I24="over",M24="over"),"Over alle år"),"")</f>
        <v/>
      </c>
      <c r="O24" s="22">
        <f t="shared" si="3"/>
        <v>0.38951648731647931</v>
      </c>
      <c r="P24">
        <f>SUM(IF(D24&gt;0.01,1),IF(H24&gt;0.01,1),IF(L24&gt;0.01,1))</f>
        <v>1</v>
      </c>
      <c r="Q24">
        <f>SUM(IF(D24&lt;-0.01,1),IF(H24&lt;-0.01,1),IF(L24&lt;-0.01,1))</f>
        <v>2</v>
      </c>
      <c r="R24">
        <f>SUM(IF(E24="lige på",1,0),IF(I24="lige på",1,0),IF(M24="lige på",1,0))</f>
        <v>0</v>
      </c>
      <c r="S24">
        <f t="shared" si="4"/>
        <v>3</v>
      </c>
    </row>
    <row r="25" spans="1:19" x14ac:dyDescent="0.25">
      <c r="A25" t="s">
        <v>14</v>
      </c>
      <c r="B25" s="21">
        <f>_xlfn.XLOOKUP(A25,'2024'!B:B,'2024'!D:D)*1.06915938074864</f>
        <v>1440851.5703065239</v>
      </c>
      <c r="C25" s="21">
        <f>_xlfn.XLOOKUP(A25,'2023-2025'!D:D,'2023-2025'!T:T)*1.06915938074864</f>
        <v>1457128.4527190411</v>
      </c>
      <c r="D25" s="21">
        <f t="shared" si="0"/>
        <v>1.1296710048387912</v>
      </c>
      <c r="E25" s="21" t="str" cm="1">
        <f t="array" ref="E25">_xlfn.IFS(D25&lt;0,"under",D25&gt;0.01,"over",AND(D25&lt;0.01,D25&gt;-0.01),"lige på")</f>
        <v>over</v>
      </c>
      <c r="F25">
        <f>_xlfn.XLOOKUP(A25,'2025'!B:B,'2025'!D:D)*1.031</f>
        <v>1488048.4859999998</v>
      </c>
      <c r="G25">
        <f>_xlfn.XLOOKUP(A25,'2023-2025'!W:W,'2023-2025'!AE:AE)*1.031</f>
        <v>1472086.544</v>
      </c>
      <c r="H25" s="21">
        <f t="shared" si="1"/>
        <v>-1.0726762031059121</v>
      </c>
      <c r="I25" s="21" t="str" cm="1">
        <f t="array" ref="I25">_xlfn.IFS(H25&lt;0,"under",H25&gt;0.01,"over",AND(H25&lt;0.01,H25&gt;-0.01),"lige på")</f>
        <v>under</v>
      </c>
      <c r="J25">
        <f>_xlfn.XLOOKUP(A25,'2026'!A:A,'2026'!P:P)</f>
        <v>1482178</v>
      </c>
      <c r="K25">
        <f>_xlfn.XLOOKUP(A25,'2026'!A:A,'2026'!G:G)</f>
        <v>1506771</v>
      </c>
      <c r="L25" s="21">
        <f t="shared" si="2"/>
        <v>1.659247404832618</v>
      </c>
      <c r="M25" s="21" t="str" cm="1">
        <f t="array" ref="M25">_xlfn.IFS(L25&lt;-0.01,"under",L25&gt;0.01,"over",AND(L25&lt;0.01,L25&gt;-0.01),"lige på")</f>
        <v>over</v>
      </c>
      <c r="N25" t="str" cm="1">
        <f t="array" ref="N25">IFERROR(_xlfn.IFS(AND(E25="under",I25="under",M25="under"),"Under alle tre år",AND(E25="over",I25="over",M25="over"),"Over alle år"),"")</f>
        <v/>
      </c>
      <c r="O25" s="22">
        <f t="shared" si="3"/>
        <v>0.57208073552183236</v>
      </c>
      <c r="P25">
        <f>SUM(IF(D25&gt;0.01,1),IF(H25&gt;0.01,1),IF(L25&gt;0.01,1))</f>
        <v>2</v>
      </c>
      <c r="Q25">
        <f>SUM(IF(D25&lt;-0.01,1),IF(H25&lt;-0.01,1),IF(L25&lt;-0.01,1))</f>
        <v>1</v>
      </c>
      <c r="R25">
        <f>SUM(IF(E25="lige på",1,0),IF(I25="lige på",1,0),IF(M25="lige på",1,0))</f>
        <v>0</v>
      </c>
      <c r="S25">
        <f t="shared" si="4"/>
        <v>3</v>
      </c>
    </row>
    <row r="26" spans="1:19" x14ac:dyDescent="0.25">
      <c r="A26" t="s">
        <v>33</v>
      </c>
      <c r="B26" s="21">
        <f>_xlfn.XLOOKUP(A26,'2024'!B:B,'2024'!D:D)*1.06915938074864</f>
        <v>2729151.2035303088</v>
      </c>
      <c r="C26" s="21">
        <f>_xlfn.XLOOKUP(A26,'2023-2025'!D:D,'2023-2025'!T:T)*1.06915938074864</f>
        <v>2775690.6422149162</v>
      </c>
      <c r="D26" s="21">
        <f t="shared" si="0"/>
        <v>1.70527153733388</v>
      </c>
      <c r="E26" s="21" t="str" cm="1">
        <f t="array" ref="E26">_xlfn.IFS(D26&lt;0,"under",D26&gt;0.01,"over",AND(D26&lt;0.01,D26&gt;-0.01),"lige på")</f>
        <v>over</v>
      </c>
      <c r="F26">
        <f>_xlfn.XLOOKUP(A26,'2025'!B:B,'2025'!D:D)*1.031</f>
        <v>2837146.0089999996</v>
      </c>
      <c r="G26">
        <f>_xlfn.XLOOKUP(A26,'2023-2025'!W:W,'2023-2025'!AE:AE)*1.031</f>
        <v>2873601.1379999998</v>
      </c>
      <c r="H26" s="21">
        <f t="shared" si="1"/>
        <v>1.2849225554256696</v>
      </c>
      <c r="I26" s="21" t="str" cm="1">
        <f t="array" ref="I26">_xlfn.IFS(H26&lt;0,"under",H26&gt;0.01,"over",AND(H26&lt;0.01,H26&gt;-0.01),"lige på")</f>
        <v>over</v>
      </c>
      <c r="J26">
        <f>_xlfn.XLOOKUP(A26,'2026'!A:A,'2026'!P:P)</f>
        <v>2894623</v>
      </c>
      <c r="K26">
        <f>_xlfn.XLOOKUP(A26,'2026'!A:A,'2026'!G:G)</f>
        <v>2923685</v>
      </c>
      <c r="L26" s="21">
        <f t="shared" si="2"/>
        <v>1.0039994845615474</v>
      </c>
      <c r="M26" s="21" t="str" cm="1">
        <f t="array" ref="M26">_xlfn.IFS(L26&lt;-0.01,"under",L26&gt;0.01,"over",AND(L26&lt;0.01,L26&gt;-0.01),"lige på")</f>
        <v>over</v>
      </c>
      <c r="N26" t="str" cm="1">
        <f t="array" ref="N26">IFERROR(_xlfn.IFS(AND(E26="under",I26="under",M26="under"),"Under alle tre år",AND(E26="over",I26="over",M26="over"),"Over alle år"),"")</f>
        <v>Over alle år</v>
      </c>
      <c r="O26" s="22">
        <f t="shared" si="3"/>
        <v>1.3313978591070323</v>
      </c>
      <c r="P26">
        <f>SUM(IF(D26&gt;0.01,1),IF(H26&gt;0.01,1),IF(L26&gt;0.01,1))</f>
        <v>3</v>
      </c>
      <c r="Q26">
        <f>SUM(IF(D26&lt;-0.01,1),IF(H26&lt;-0.01,1),IF(L26&lt;-0.01,1))</f>
        <v>0</v>
      </c>
      <c r="R26">
        <f>SUM(IF(E26="lige på",1,0),IF(I26="lige på",1,0),IF(M26="lige på",1,0))</f>
        <v>0</v>
      </c>
      <c r="S26">
        <f t="shared" si="4"/>
        <v>3</v>
      </c>
    </row>
    <row r="27" spans="1:19" x14ac:dyDescent="0.25">
      <c r="A27" t="s">
        <v>38</v>
      </c>
      <c r="B27" s="21">
        <f>_xlfn.XLOOKUP(A27,'2024'!B:B,'2024'!D:D)*1.06915938074864</f>
        <v>2371729.084227277</v>
      </c>
      <c r="C27" s="21">
        <f>_xlfn.XLOOKUP(A27,'2023-2025'!D:D,'2023-2025'!T:T)*1.06915938074864</f>
        <v>2399835.1460283971</v>
      </c>
      <c r="D27" s="21">
        <f t="shared" si="0"/>
        <v>1.1850452055436715</v>
      </c>
      <c r="E27" s="21" t="str" cm="1">
        <f t="array" ref="E27">_xlfn.IFS(D27&lt;0,"under",D27&gt;0.01,"over",AND(D27&lt;0.01,D27&gt;-0.01),"lige på")</f>
        <v>over</v>
      </c>
      <c r="F27">
        <f>_xlfn.XLOOKUP(A27,'2025'!B:B,'2025'!D:D)*1.031</f>
        <v>2450051.9039999996</v>
      </c>
      <c r="G27">
        <f>_xlfn.XLOOKUP(A27,'2023-2025'!W:W,'2023-2025'!AE:AE)*1.031</f>
        <v>2479069.3989999997</v>
      </c>
      <c r="H27" s="21">
        <f t="shared" si="1"/>
        <v>1.1843624599391391</v>
      </c>
      <c r="I27" s="21" t="str" cm="1">
        <f t="array" ref="I27">_xlfn.IFS(H27&lt;0,"under",H27&gt;0.01,"over",AND(H27&lt;0.01,H27&gt;-0.01),"lige på")</f>
        <v>over</v>
      </c>
      <c r="J27">
        <f>_xlfn.XLOOKUP(A27,'2026'!A:A,'2026'!P:P)</f>
        <v>2495232</v>
      </c>
      <c r="K27">
        <f>_xlfn.XLOOKUP(A27,'2026'!A:A,'2026'!G:G)</f>
        <v>2495115</v>
      </c>
      <c r="L27" s="21">
        <f t="shared" si="2"/>
        <v>-4.6889427516158821E-3</v>
      </c>
      <c r="M27" s="21" t="str" cm="1">
        <f t="array" ref="M27">_xlfn.IFS(L27&lt;-0.01,"under",L27&gt;0.01,"over",AND(L27&lt;0.01,L27&gt;-0.01),"lige på")</f>
        <v>lige på</v>
      </c>
      <c r="N27" t="str" cm="1">
        <f t="array" ref="N27">IFERROR(_xlfn.IFS(AND(E27="under",I27="under",M27="under"),"Under alle tre år",AND(E27="over",I27="over",M27="over"),"Over alle år"),"")</f>
        <v/>
      </c>
      <c r="O27" s="22">
        <f t="shared" si="3"/>
        <v>0.78823957424373159</v>
      </c>
      <c r="P27">
        <f>SUM(IF(D27&gt;0.01,1),IF(H27&gt;0.01,1),IF(L27&gt;0.01,1))</f>
        <v>2</v>
      </c>
      <c r="Q27">
        <f>SUM(IF(D27&lt;-0.01,1),IF(H27&lt;-0.01,1),IF(L27&lt;-0.01,1))</f>
        <v>0</v>
      </c>
      <c r="R27">
        <f>SUM(IF(E27="lige på",1,0),IF(I27="lige på",1,0),IF(M27="lige på",1,0))</f>
        <v>1</v>
      </c>
      <c r="S27">
        <f t="shared" si="4"/>
        <v>3</v>
      </c>
    </row>
    <row r="28" spans="1:19" x14ac:dyDescent="0.25">
      <c r="A28" t="s">
        <v>50</v>
      </c>
      <c r="B28" s="21">
        <f>_xlfn.XLOOKUP(A28,'2024'!B:B,'2024'!D:D)*1.06915938074864</f>
        <v>3587926.7471321351</v>
      </c>
      <c r="C28" s="21">
        <f>_xlfn.XLOOKUP(A28,'2023-2025'!D:D,'2023-2025'!T:T)*1.06915938074864</f>
        <v>3617002.5364915943</v>
      </c>
      <c r="D28" s="21">
        <f t="shared" si="0"/>
        <v>0.81037856702898836</v>
      </c>
      <c r="E28" s="21" t="str" cm="1">
        <f t="array" ref="E28">_xlfn.IFS(D28&lt;0,"under",D28&gt;0.01,"over",AND(D28&lt;0.01,D28&gt;-0.01),"lige på")</f>
        <v>over</v>
      </c>
      <c r="F28">
        <f>_xlfn.XLOOKUP(A28,'2025'!B:B,'2025'!D:D)*1.031</f>
        <v>3698109.3649999998</v>
      </c>
      <c r="G28">
        <f>_xlfn.XLOOKUP(A28,'2023-2025'!W:W,'2023-2025'!AE:AE)*1.031</f>
        <v>3666276.2089999998</v>
      </c>
      <c r="H28" s="21">
        <f t="shared" si="1"/>
        <v>-0.86079541890454503</v>
      </c>
      <c r="I28" s="21" t="str" cm="1">
        <f t="array" ref="I28">_xlfn.IFS(H28&lt;0,"under",H28&gt;0.01,"over",AND(H28&lt;0.01,H28&gt;-0.01),"lige på")</f>
        <v>under</v>
      </c>
      <c r="J28">
        <f>_xlfn.XLOOKUP(A28,'2026'!A:A,'2026'!P:P)</f>
        <v>3693729</v>
      </c>
      <c r="K28">
        <f>_xlfn.XLOOKUP(A28,'2026'!A:A,'2026'!G:G)</f>
        <v>3650341</v>
      </c>
      <c r="L28" s="21">
        <f t="shared" si="2"/>
        <v>-1.1746395038726447</v>
      </c>
      <c r="M28" s="21" t="str" cm="1">
        <f t="array" ref="M28">_xlfn.IFS(L28&lt;-0.01,"under",L28&gt;0.01,"over",AND(L28&lt;0.01,L28&gt;-0.01),"lige på")</f>
        <v>under</v>
      </c>
      <c r="N28" t="str" cm="1">
        <f t="array" ref="N28">IFERROR(_xlfn.IFS(AND(E28="under",I28="under",M28="under"),"Under alle tre år",AND(E28="over",I28="over",M28="over"),"Over alle år"),"")</f>
        <v/>
      </c>
      <c r="O28" s="22">
        <f t="shared" si="3"/>
        <v>-0.40835211858273385</v>
      </c>
      <c r="P28">
        <f>SUM(IF(D28&gt;0.01,1),IF(H28&gt;0.01,1),IF(L28&gt;0.01,1))</f>
        <v>1</v>
      </c>
      <c r="Q28">
        <f>SUM(IF(D28&lt;-0.01,1),IF(H28&lt;-0.01,1),IF(L28&lt;-0.01,1))</f>
        <v>2</v>
      </c>
      <c r="R28">
        <f>SUM(IF(E28="lige på",1,0),IF(I28="lige på",1,0),IF(M28="lige på",1,0))</f>
        <v>0</v>
      </c>
      <c r="S28">
        <f t="shared" si="4"/>
        <v>3</v>
      </c>
    </row>
    <row r="29" spans="1:19" x14ac:dyDescent="0.25">
      <c r="A29" t="s">
        <v>63</v>
      </c>
      <c r="B29" s="21">
        <f>_xlfn.XLOOKUP(A29,'2024'!B:B,'2024'!D:D)*1.06915938074864</f>
        <v>3117149.1428039903</v>
      </c>
      <c r="C29" s="21">
        <f>_xlfn.XLOOKUP(A29,'2023-2025'!D:D,'2023-2025'!T:T)*1.06915938074864</f>
        <v>3141769.7450238699</v>
      </c>
      <c r="D29" s="21">
        <f t="shared" si="0"/>
        <v>0.78984357475216893</v>
      </c>
      <c r="E29" s="21" t="str" cm="1">
        <f t="array" ref="E29">_xlfn.IFS(D29&lt;0,"under",D29&gt;0.01,"over",AND(D29&lt;0.01,D29&gt;-0.01),"lige på")</f>
        <v>over</v>
      </c>
      <c r="F29">
        <f>_xlfn.XLOOKUP(A29,'2025'!B:B,'2025'!D:D)*1.031</f>
        <v>3212714.5649999999</v>
      </c>
      <c r="G29">
        <f>_xlfn.XLOOKUP(A29,'2023-2025'!W:W,'2023-2025'!AE:AE)*1.031</f>
        <v>3212336.1879999996</v>
      </c>
      <c r="H29" s="21">
        <f t="shared" si="1"/>
        <v>-1.177748574748743E-2</v>
      </c>
      <c r="I29" s="21" t="str" cm="1">
        <f t="array" ref="I29">_xlfn.IFS(H29&lt;0,"under",H29&gt;0.01,"over",AND(H29&lt;0.01,H29&gt;-0.01),"lige på")</f>
        <v>under</v>
      </c>
      <c r="J29">
        <f>_xlfn.XLOOKUP(A29,'2026'!A:A,'2026'!P:P)</f>
        <v>3236707</v>
      </c>
      <c r="K29">
        <f>_xlfn.XLOOKUP(A29,'2026'!A:A,'2026'!G:G)</f>
        <v>3227765</v>
      </c>
      <c r="L29" s="21">
        <f t="shared" si="2"/>
        <v>-0.27626844196895178</v>
      </c>
      <c r="M29" s="21" t="str" cm="1">
        <f t="array" ref="M29">_xlfn.IFS(L29&lt;-0.01,"under",L29&gt;0.01,"over",AND(L29&lt;0.01,L29&gt;-0.01),"lige på")</f>
        <v>under</v>
      </c>
      <c r="N29" t="str" cm="1">
        <f t="array" ref="N29">IFERROR(_xlfn.IFS(AND(E29="under",I29="under",M29="under"),"Under alle tre år",AND(E29="over",I29="over",M29="over"),"Over alle år"),"")</f>
        <v/>
      </c>
      <c r="O29" s="22">
        <f t="shared" si="3"/>
        <v>0.16726588234524323</v>
      </c>
      <c r="P29">
        <f>SUM(IF(D29&gt;0.01,1),IF(H29&gt;0.01,1),IF(L29&gt;0.01,1))</f>
        <v>1</v>
      </c>
      <c r="Q29">
        <f>SUM(IF(D29&lt;-0.01,1),IF(H29&lt;-0.01,1),IF(L29&lt;-0.01,1))</f>
        <v>2</v>
      </c>
      <c r="R29">
        <f>SUM(IF(E29="lige på",1,0),IF(I29="lige på",1,0),IF(M29="lige på",1,0))</f>
        <v>0</v>
      </c>
      <c r="S29">
        <f t="shared" si="4"/>
        <v>3</v>
      </c>
    </row>
    <row r="30" spans="1:19" x14ac:dyDescent="0.25">
      <c r="A30" t="s">
        <v>35</v>
      </c>
      <c r="B30" s="21">
        <f>_xlfn.XLOOKUP(A30,'2024'!B:B,'2024'!D:D)*1.06915938074864</f>
        <v>1961970.5440772185</v>
      </c>
      <c r="C30" s="21">
        <f>_xlfn.XLOOKUP(A30,'2023-2025'!D:D,'2023-2025'!T:T)*1.06915938074864</f>
        <v>1951787.8701349683</v>
      </c>
      <c r="D30" s="21">
        <f t="shared" si="0"/>
        <v>-0.51900238629930384</v>
      </c>
      <c r="E30" s="21" t="str" cm="1">
        <f t="array" ref="E30">_xlfn.IFS(D30&lt;0,"under",D30&gt;0.01,"over",AND(D30&lt;0.01,D30&gt;-0.01),"lige på")</f>
        <v>under</v>
      </c>
      <c r="F30">
        <f>_xlfn.XLOOKUP(A30,'2025'!B:B,'2025'!D:D)*1.031</f>
        <v>1991755.9079999998</v>
      </c>
      <c r="G30">
        <f>_xlfn.XLOOKUP(A30,'2023-2025'!W:W,'2023-2025'!AE:AE)*1.031</f>
        <v>2019303.1969999999</v>
      </c>
      <c r="H30" s="21">
        <f t="shared" si="1"/>
        <v>1.3830655096518036</v>
      </c>
      <c r="I30" s="21" t="str" cm="1">
        <f t="array" ref="I30">_xlfn.IFS(H30&lt;0,"under",H30&gt;0.01,"over",AND(H30&lt;0.01,H30&gt;-0.01),"lige på")</f>
        <v>over</v>
      </c>
      <c r="J30">
        <f>_xlfn.XLOOKUP(A30,'2026'!A:A,'2026'!P:P)</f>
        <v>2031770</v>
      </c>
      <c r="K30">
        <f>_xlfn.XLOOKUP(A30,'2026'!A:A,'2026'!G:G)</f>
        <v>2031731</v>
      </c>
      <c r="L30" s="21">
        <f t="shared" si="2"/>
        <v>-1.919508605796916E-3</v>
      </c>
      <c r="M30" s="21" t="str" cm="1">
        <f t="array" ref="M30">_xlfn.IFS(L30&lt;-0.01,"under",L30&gt;0.01,"over",AND(L30&lt;0.01,L30&gt;-0.01),"lige på")</f>
        <v>lige på</v>
      </c>
      <c r="N30" t="str" cm="1">
        <f t="array" ref="N30">IFERROR(_xlfn.IFS(AND(E30="under",I30="under",M30="under"),"Under alle tre år",AND(E30="over",I30="over",M30="over"),"Over alle år"),"")</f>
        <v/>
      </c>
      <c r="O30" s="22">
        <f t="shared" si="3"/>
        <v>0.28738120491556768</v>
      </c>
      <c r="P30">
        <f>SUM(IF(D30&gt;0.01,1),IF(H30&gt;0.01,1),IF(L30&gt;0.01,1))</f>
        <v>1</v>
      </c>
      <c r="Q30">
        <f>SUM(IF(D30&lt;-0.01,1),IF(H30&lt;-0.01,1),IF(L30&lt;-0.01,1))</f>
        <v>1</v>
      </c>
      <c r="R30">
        <f>SUM(IF(E30="lige på",1,0),IF(I30="lige på",1,0),IF(M30="lige på",1,0))</f>
        <v>1</v>
      </c>
      <c r="S30">
        <f t="shared" si="4"/>
        <v>3</v>
      </c>
    </row>
    <row r="31" spans="1:19" x14ac:dyDescent="0.25">
      <c r="A31" t="s">
        <v>91</v>
      </c>
      <c r="B31" s="21">
        <f>_xlfn.XLOOKUP(A31,'2024'!B:B,'2024'!D:D)*1.06915938074864</f>
        <v>2452836.5840102495</v>
      </c>
      <c r="C31" s="21">
        <f>_xlfn.XLOOKUP(A31,'2023-2025'!D:D,'2023-2025'!T:T)*1.06915938074864</f>
        <v>2486251.022136787</v>
      </c>
      <c r="D31" s="21">
        <f t="shared" si="0"/>
        <v>1.3622773871020286</v>
      </c>
      <c r="E31" s="21" t="str" cm="1">
        <f t="array" ref="E31">_xlfn.IFS(D31&lt;0,"under",D31&gt;0.01,"over",AND(D31&lt;0.01,D31&gt;-0.01),"lige på")</f>
        <v>over</v>
      </c>
      <c r="F31">
        <f>_xlfn.XLOOKUP(A31,'2025'!B:B,'2025'!D:D)*1.031</f>
        <v>2541111.8859999999</v>
      </c>
      <c r="G31">
        <f>_xlfn.XLOOKUP(A31,'2023-2025'!W:W,'2023-2025'!AE:AE)*1.031</f>
        <v>2521117.7029999997</v>
      </c>
      <c r="H31" s="21">
        <f t="shared" si="1"/>
        <v>-0.78682812473374864</v>
      </c>
      <c r="I31" s="21" t="str" cm="1">
        <f t="array" ref="I31">_xlfn.IFS(H31&lt;0,"under",H31&gt;0.01,"over",AND(H31&lt;0.01,H31&gt;-0.01),"lige på")</f>
        <v>under</v>
      </c>
      <c r="J31">
        <f>_xlfn.XLOOKUP(A31,'2026'!A:A,'2026'!P:P)</f>
        <v>2539708</v>
      </c>
      <c r="K31">
        <f>_xlfn.XLOOKUP(A31,'2026'!A:A,'2026'!G:G)</f>
        <v>2524188</v>
      </c>
      <c r="L31" s="21">
        <f t="shared" si="2"/>
        <v>-0.61109387378391533</v>
      </c>
      <c r="M31" s="21" t="str" cm="1">
        <f t="array" ref="M31">_xlfn.IFS(L31&lt;-0.01,"under",L31&gt;0.01,"over",AND(L31&lt;0.01,L31&gt;-0.01),"lige på")</f>
        <v>under</v>
      </c>
      <c r="N31" t="str" cm="1">
        <f t="array" ref="N31">IFERROR(_xlfn.IFS(AND(E31="under",I31="under",M31="under"),"Under alle tre år",AND(E31="over",I31="over",M31="over"),"Over alle år"),"")</f>
        <v/>
      </c>
      <c r="O31" s="22">
        <f t="shared" si="3"/>
        <v>-1.1881537138545081E-2</v>
      </c>
      <c r="P31">
        <f>SUM(IF(D31&gt;0.01,1),IF(H31&gt;0.01,1),IF(L31&gt;0.01,1))</f>
        <v>1</v>
      </c>
      <c r="Q31">
        <f>SUM(IF(D31&lt;-0.01,1),IF(H31&lt;-0.01,1),IF(L31&lt;-0.01,1))</f>
        <v>2</v>
      </c>
      <c r="R31">
        <f>SUM(IF(E31="lige på",1,0),IF(I31="lige på",1,0),IF(M31="lige på",1,0))</f>
        <v>0</v>
      </c>
      <c r="S31">
        <f t="shared" si="4"/>
        <v>3</v>
      </c>
    </row>
    <row r="32" spans="1:19" x14ac:dyDescent="0.25">
      <c r="A32" t="s">
        <v>27</v>
      </c>
      <c r="B32" s="21">
        <f>_xlfn.XLOOKUP(A32,'2024'!B:B,'2024'!D:D)*1.06915938074864</f>
        <v>3760512.5926913419</v>
      </c>
      <c r="C32" s="21">
        <f>_xlfn.XLOOKUP(A32,'2023-2025'!D:D,'2023-2025'!T:T)*1.06915938074864</f>
        <v>3791400.6072011702</v>
      </c>
      <c r="D32" s="21">
        <f t="shared" si="0"/>
        <v>0.82137777094165276</v>
      </c>
      <c r="E32" s="21" t="str" cm="1">
        <f t="array" ref="E32">_xlfn.IFS(D32&lt;0,"under",D32&gt;0.01,"over",AND(D32&lt;0.01,D32&gt;-0.01),"lige på")</f>
        <v>over</v>
      </c>
      <c r="F32">
        <f>_xlfn.XLOOKUP(A32,'2025'!B:B,'2025'!D:D)*1.031</f>
        <v>3871497.7899999996</v>
      </c>
      <c r="G32">
        <f>_xlfn.XLOOKUP(A32,'2023-2025'!W:W,'2023-2025'!AE:AE)*1.031</f>
        <v>3839699.6879999996</v>
      </c>
      <c r="H32" s="21">
        <f t="shared" si="1"/>
        <v>-0.82133850320498192</v>
      </c>
      <c r="I32" s="21" t="str" cm="1">
        <f t="array" ref="I32">_xlfn.IFS(H32&lt;0,"under",H32&gt;0.01,"over",AND(H32&lt;0.01,H32&gt;-0.01),"lige på")</f>
        <v>under</v>
      </c>
      <c r="J32">
        <f>_xlfn.XLOOKUP(A32,'2026'!A:A,'2026'!P:P)</f>
        <v>3865730</v>
      </c>
      <c r="K32">
        <f>_xlfn.XLOOKUP(A32,'2026'!A:A,'2026'!G:G)</f>
        <v>3827805</v>
      </c>
      <c r="L32" s="21">
        <f t="shared" si="2"/>
        <v>-0.98105661802557331</v>
      </c>
      <c r="M32" s="21" t="str" cm="1">
        <f t="array" ref="M32">_xlfn.IFS(L32&lt;-0.01,"under",L32&gt;0.01,"over",AND(L32&lt;0.01,L32&gt;-0.01),"lige på")</f>
        <v>under</v>
      </c>
      <c r="N32" t="str" cm="1">
        <f t="array" ref="N32">IFERROR(_xlfn.IFS(AND(E32="under",I32="under",M32="under"),"Under alle tre år",AND(E32="over",I32="over",M32="over"),"Over alle år"),"")</f>
        <v/>
      </c>
      <c r="O32" s="22">
        <f t="shared" si="3"/>
        <v>-0.3270057834296341</v>
      </c>
      <c r="P32">
        <f>SUM(IF(D32&gt;0.01,1),IF(H32&gt;0.01,1),IF(L32&gt;0.01,1))</f>
        <v>1</v>
      </c>
      <c r="Q32">
        <f>SUM(IF(D32&lt;-0.01,1),IF(H32&lt;-0.01,1),IF(L32&lt;-0.01,1))</f>
        <v>2</v>
      </c>
      <c r="R32">
        <f>SUM(IF(E32="lige på",1,0),IF(I32="lige på",1,0),IF(M32="lige på",1,0))</f>
        <v>0</v>
      </c>
      <c r="S32">
        <f t="shared" si="4"/>
        <v>3</v>
      </c>
    </row>
    <row r="33" spans="1:19" x14ac:dyDescent="0.25">
      <c r="A33" t="s">
        <v>15</v>
      </c>
      <c r="B33" s="21">
        <f>_xlfn.XLOOKUP(A33,'2024'!B:B,'2024'!D:D)*1.06915938074864</f>
        <v>1842792.4170645482</v>
      </c>
      <c r="C33" s="21">
        <f>_xlfn.XLOOKUP(A33,'2023-2025'!D:D,'2023-2025'!T:T)*1.06915938074864</f>
        <v>1855883.2045224346</v>
      </c>
      <c r="D33" s="21">
        <f t="shared" si="0"/>
        <v>0.71037775805151082</v>
      </c>
      <c r="E33" s="21" t="str" cm="1">
        <f t="array" ref="E33">_xlfn.IFS(D33&lt;0,"under",D33&gt;0.01,"over",AND(D33&lt;0.01,D33&gt;-0.01),"lige på")</f>
        <v>over</v>
      </c>
      <c r="F33">
        <f>_xlfn.XLOOKUP(A33,'2025'!B:B,'2025'!D:D)*1.031</f>
        <v>1895321.3229999999</v>
      </c>
      <c r="G33">
        <f>_xlfn.XLOOKUP(A33,'2023-2025'!W:W,'2023-2025'!AE:AE)*1.031</f>
        <v>1901371.2309999999</v>
      </c>
      <c r="H33" s="21">
        <f t="shared" si="1"/>
        <v>0.31920223376287393</v>
      </c>
      <c r="I33" s="21" t="str" cm="1">
        <f t="array" ref="I33">_xlfn.IFS(H33&lt;0,"under",H33&gt;0.01,"over",AND(H33&lt;0.01,H33&gt;-0.01),"lige på")</f>
        <v>over</v>
      </c>
      <c r="J33">
        <f>_xlfn.XLOOKUP(A33,'2026'!A:A,'2026'!P:P)</f>
        <v>1914383</v>
      </c>
      <c r="K33">
        <f>_xlfn.XLOOKUP(A33,'2026'!A:A,'2026'!G:G)</f>
        <v>1932274</v>
      </c>
      <c r="L33" s="21">
        <f t="shared" si="2"/>
        <v>0.93455698258916842</v>
      </c>
      <c r="M33" s="21" t="str" cm="1">
        <f t="array" ref="M33">_xlfn.IFS(L33&lt;-0.01,"under",L33&gt;0.01,"over",AND(L33&lt;0.01,L33&gt;-0.01),"lige på")</f>
        <v>over</v>
      </c>
      <c r="N33" t="str" cm="1">
        <f t="array" ref="N33">IFERROR(_xlfn.IFS(AND(E33="under",I33="under",M33="under"),"Under alle tre år",AND(E33="over",I33="over",M33="over"),"Over alle år"),"")</f>
        <v>Over alle år</v>
      </c>
      <c r="O33" s="22">
        <f t="shared" si="3"/>
        <v>0.65471232480118446</v>
      </c>
      <c r="P33">
        <f>SUM(IF(D33&gt;0.01,1),IF(H33&gt;0.01,1),IF(L33&gt;0.01,1))</f>
        <v>3</v>
      </c>
      <c r="Q33">
        <f>SUM(IF(D33&lt;-0.01,1),IF(H33&lt;-0.01,1),IF(L33&lt;-0.01,1))</f>
        <v>0</v>
      </c>
      <c r="R33">
        <f>SUM(IF(E33="lige på",1,0),IF(I33="lige på",1,0),IF(M33="lige på",1,0))</f>
        <v>0</v>
      </c>
      <c r="S33">
        <f t="shared" si="4"/>
        <v>3</v>
      </c>
    </row>
    <row r="34" spans="1:19" x14ac:dyDescent="0.25">
      <c r="A34" t="s">
        <v>76</v>
      </c>
      <c r="B34" s="21">
        <f>_xlfn.XLOOKUP(A34,'2024'!B:B,'2024'!D:D)*1.06915938074864</f>
        <v>4518426.8477914836</v>
      </c>
      <c r="C34" s="21">
        <f>_xlfn.XLOOKUP(A34,'2023-2025'!D:D,'2023-2025'!T:T)*1.06915938074864</f>
        <v>4552027.319650271</v>
      </c>
      <c r="D34" s="21">
        <f t="shared" si="0"/>
        <v>0.74363208680053294</v>
      </c>
      <c r="E34" s="21" t="str" cm="1">
        <f t="array" ref="E34">_xlfn.IFS(D34&lt;0,"under",D34&gt;0.01,"over",AND(D34&lt;0.01,D34&gt;-0.01),"lige på")</f>
        <v>over</v>
      </c>
      <c r="F34">
        <f>_xlfn.XLOOKUP(A34,'2025'!B:B,'2025'!D:D)*1.031</f>
        <v>4656673.3669999996</v>
      </c>
      <c r="G34">
        <f>_xlfn.XLOOKUP(A34,'2023-2025'!W:W,'2023-2025'!AE:AE)*1.031</f>
        <v>4657408.47</v>
      </c>
      <c r="H34" s="21">
        <f t="shared" si="1"/>
        <v>1.5786011645341137E-2</v>
      </c>
      <c r="I34" s="21" t="str" cm="1">
        <f t="array" ref="I34">_xlfn.IFS(H34&lt;0,"under",H34&gt;0.01,"over",AND(H34&lt;0.01,H34&gt;-0.01),"lige på")</f>
        <v>over</v>
      </c>
      <c r="J34">
        <f>_xlfn.XLOOKUP(A34,'2026'!A:A,'2026'!P:P)</f>
        <v>4693930</v>
      </c>
      <c r="K34">
        <f>_xlfn.XLOOKUP(A34,'2026'!A:A,'2026'!G:G)</f>
        <v>4658593</v>
      </c>
      <c r="L34" s="21">
        <f t="shared" si="2"/>
        <v>-0.75282332714804012</v>
      </c>
      <c r="M34" s="21" t="str" cm="1">
        <f t="array" ref="M34">_xlfn.IFS(L34&lt;-0.01,"under",L34&gt;0.01,"over",AND(L34&lt;0.01,L34&gt;-0.01),"lige på")</f>
        <v>under</v>
      </c>
      <c r="N34" t="str" cm="1">
        <f t="array" ref="N34">IFERROR(_xlfn.IFS(AND(E34="under",I34="under",M34="under"),"Under alle tre år",AND(E34="over",I34="over",M34="over"),"Over alle år"),"")</f>
        <v/>
      </c>
      <c r="O34" s="22">
        <f t="shared" si="3"/>
        <v>2.1982570992779746E-3</v>
      </c>
      <c r="P34">
        <f>SUM(IF(D34&gt;0.01,1),IF(H34&gt;0.01,1),IF(L34&gt;0.01,1))</f>
        <v>2</v>
      </c>
      <c r="Q34">
        <f>SUM(IF(D34&lt;-0.01,1),IF(H34&lt;-0.01,1),IF(L34&lt;-0.01,1))</f>
        <v>1</v>
      </c>
      <c r="R34">
        <f>SUM(IF(E34="lige på",1,0),IF(I34="lige på",1,0),IF(M34="lige på",1,0))</f>
        <v>0</v>
      </c>
      <c r="S34">
        <f t="shared" si="4"/>
        <v>3</v>
      </c>
    </row>
    <row r="35" spans="1:19" x14ac:dyDescent="0.25">
      <c r="A35" t="s">
        <v>28</v>
      </c>
      <c r="B35" s="21">
        <f>_xlfn.XLOOKUP(A35,'2024'!B:B,'2024'!D:D)*1.06915938074864</f>
        <v>2958561.8010169254</v>
      </c>
      <c r="C35" s="21">
        <f>_xlfn.XLOOKUP(A35,'2023-2025'!D:D,'2023-2025'!T:T)*1.06915938074864</f>
        <v>3001857.4101403411</v>
      </c>
      <c r="D35" s="21">
        <f t="shared" si="0"/>
        <v>1.463400531587141</v>
      </c>
      <c r="E35" s="21" t="str" cm="1">
        <f t="array" ref="E35">_xlfn.IFS(D35&lt;0,"under",D35&gt;0.01,"over",AND(D35&lt;0.01,D35&gt;-0.01),"lige på")</f>
        <v>over</v>
      </c>
      <c r="F35">
        <f>_xlfn.XLOOKUP(A35,'2025'!B:B,'2025'!D:D)*1.031</f>
        <v>3064995.9779999997</v>
      </c>
      <c r="G35">
        <f>_xlfn.XLOOKUP(A35,'2023-2025'!W:W,'2023-2025'!AE:AE)*1.031</f>
        <v>3070501.5179999997</v>
      </c>
      <c r="H35" s="21">
        <f t="shared" si="1"/>
        <v>0.17962633685387622</v>
      </c>
      <c r="I35" s="21" t="str" cm="1">
        <f t="array" ref="I35">_xlfn.IFS(H35&lt;0,"under",H35&gt;0.01,"over",AND(H35&lt;0.01,H35&gt;-0.01),"lige på")</f>
        <v>over</v>
      </c>
      <c r="J35">
        <f>_xlfn.XLOOKUP(A35,'2026'!A:A,'2026'!P:P)</f>
        <v>3090856</v>
      </c>
      <c r="K35">
        <f>_xlfn.XLOOKUP(A35,'2026'!A:A,'2026'!G:G)</f>
        <v>3090792</v>
      </c>
      <c r="L35" s="21">
        <f t="shared" si="2"/>
        <v>-2.07062380130294E-3</v>
      </c>
      <c r="M35" s="21" t="str" cm="1">
        <f t="array" ref="M35">_xlfn.IFS(L35&lt;-0.01,"under",L35&gt;0.01,"over",AND(L35&lt;0.01,L35&gt;-0.01),"lige på")</f>
        <v>lige på</v>
      </c>
      <c r="N35" t="str" cm="1">
        <f t="array" ref="N35">IFERROR(_xlfn.IFS(AND(E35="under",I35="under",M35="under"),"Under alle tre år",AND(E35="over",I35="over",M35="over"),"Over alle år"),"")</f>
        <v/>
      </c>
      <c r="O35" s="22">
        <f t="shared" si="3"/>
        <v>0.54698541487990482</v>
      </c>
      <c r="P35">
        <f>SUM(IF(D35&gt;0.01,1),IF(H35&gt;0.01,1),IF(L35&gt;0.01,1))</f>
        <v>2</v>
      </c>
      <c r="Q35">
        <f>SUM(IF(D35&lt;-0.01,1),IF(H35&lt;-0.01,1),IF(L35&lt;-0.01,1))</f>
        <v>0</v>
      </c>
      <c r="R35">
        <f>SUM(IF(E35="lige på",1,0),IF(I35="lige på",1,0),IF(M35="lige på",1,0))</f>
        <v>1</v>
      </c>
      <c r="S35">
        <f t="shared" si="4"/>
        <v>3</v>
      </c>
    </row>
    <row r="36" spans="1:19" x14ac:dyDescent="0.25">
      <c r="A36" t="s">
        <v>104</v>
      </c>
      <c r="B36" s="21">
        <f>_xlfn.XLOOKUP(A36,'2024'!B:B,'2024'!D:D)*1.06915938074864</f>
        <v>3757337.1893305187</v>
      </c>
      <c r="C36" s="21">
        <f>_xlfn.XLOOKUP(A36,'2023-2025'!D:D,'2023-2025'!T:T)*1.06915938074864</f>
        <v>3764775.3311423869</v>
      </c>
      <c r="D36" s="21">
        <f t="shared" si="0"/>
        <v>0.19796311688473991</v>
      </c>
      <c r="E36" s="21" t="str" cm="1">
        <f t="array" ref="E36">_xlfn.IFS(D36&lt;0,"under",D36&gt;0.01,"over",AND(D36&lt;0.01,D36&gt;-0.01),"lige på")</f>
        <v>over</v>
      </c>
      <c r="F36">
        <f>_xlfn.XLOOKUP(A36,'2025'!B:B,'2025'!D:D)*1.031</f>
        <v>3845700.1079999995</v>
      </c>
      <c r="G36">
        <f>_xlfn.XLOOKUP(A36,'2023-2025'!W:W,'2023-2025'!AE:AE)*1.031</f>
        <v>3840485.3099999996</v>
      </c>
      <c r="H36" s="21">
        <f t="shared" si="1"/>
        <v>-0.1356007450802493</v>
      </c>
      <c r="I36" s="21" t="str" cm="1">
        <f t="array" ref="I36">_xlfn.IFS(H36&lt;0,"under",H36&gt;0.01,"over",AND(H36&lt;0.01,H36&gt;-0.01),"lige på")</f>
        <v>under</v>
      </c>
      <c r="J36">
        <f>_xlfn.XLOOKUP(A36,'2026'!A:A,'2026'!P:P)</f>
        <v>3866954</v>
      </c>
      <c r="K36">
        <f>_xlfn.XLOOKUP(A36,'2026'!A:A,'2026'!G:G)</f>
        <v>3856946</v>
      </c>
      <c r="L36" s="21">
        <f t="shared" si="2"/>
        <v>-0.25880835406886143</v>
      </c>
      <c r="M36" s="21" t="str" cm="1">
        <f t="array" ref="M36">_xlfn.IFS(L36&lt;-0.01,"under",L36&gt;0.01,"over",AND(L36&lt;0.01,L36&gt;-0.01),"lige på")</f>
        <v>under</v>
      </c>
      <c r="N36" t="str" cm="1">
        <f t="array" ref="N36">IFERROR(_xlfn.IFS(AND(E36="under",I36="under",M36="under"),"Under alle tre år",AND(E36="over",I36="over",M36="over"),"Over alle år"),"")</f>
        <v/>
      </c>
      <c r="O36" s="22">
        <f t="shared" si="3"/>
        <v>-6.5481994088123593E-2</v>
      </c>
      <c r="P36">
        <f>SUM(IF(D36&gt;0.01,1),IF(H36&gt;0.01,1),IF(L36&gt;0.01,1))</f>
        <v>1</v>
      </c>
      <c r="Q36">
        <f>SUM(IF(D36&lt;-0.01,1),IF(H36&lt;-0.01,1),IF(L36&lt;-0.01,1))</f>
        <v>2</v>
      </c>
      <c r="R36">
        <f>SUM(IF(E36="lige på",1,0),IF(I36="lige på",1,0),IF(M36="lige på",1,0))</f>
        <v>0</v>
      </c>
      <c r="S36">
        <f t="shared" si="4"/>
        <v>3</v>
      </c>
    </row>
    <row r="37" spans="1:19" x14ac:dyDescent="0.25">
      <c r="A37" t="s">
        <v>40</v>
      </c>
      <c r="B37" s="21">
        <f>_xlfn.XLOOKUP(A37,'2024'!B:B,'2024'!D:D)*1.06915938074864</f>
        <v>3811075.2781257066</v>
      </c>
      <c r="C37" s="21">
        <f>_xlfn.XLOOKUP(A37,'2023-2025'!D:D,'2023-2025'!T:T)*1.06915938074864</f>
        <v>3853069.7202827516</v>
      </c>
      <c r="D37" s="21">
        <f t="shared" si="0"/>
        <v>1.1019053440922306</v>
      </c>
      <c r="E37" s="21" t="str" cm="1">
        <f t="array" ref="E37">_xlfn.IFS(D37&lt;0,"under",D37&gt;0.01,"over",AND(D37&lt;0.01,D37&gt;-0.01),"lige på")</f>
        <v>over</v>
      </c>
      <c r="F37">
        <f>_xlfn.XLOOKUP(A37,'2025'!B:B,'2025'!D:D)*1.031</f>
        <v>3942762.5719999997</v>
      </c>
      <c r="G37">
        <f>_xlfn.XLOOKUP(A37,'2023-2025'!W:W,'2023-2025'!AE:AE)*1.031</f>
        <v>3963382.5719999997</v>
      </c>
      <c r="H37" s="21">
        <f t="shared" si="1"/>
        <v>0.52298355844288968</v>
      </c>
      <c r="I37" s="21" t="str" cm="1">
        <f t="array" ref="I37">_xlfn.IFS(H37&lt;0,"under",H37&gt;0.01,"over",AND(H37&lt;0.01,H37&gt;-0.01),"lige på")</f>
        <v>over</v>
      </c>
      <c r="J37">
        <f>_xlfn.XLOOKUP(A37,'2026'!A:A,'2026'!P:P)</f>
        <v>3995125</v>
      </c>
      <c r="K37">
        <f>_xlfn.XLOOKUP(A37,'2026'!A:A,'2026'!G:G)</f>
        <v>4007125</v>
      </c>
      <c r="L37" s="21">
        <f t="shared" si="2"/>
        <v>0.3003660711492131</v>
      </c>
      <c r="M37" s="21" t="str" cm="1">
        <f t="array" ref="M37">_xlfn.IFS(L37&lt;-0.01,"under",L37&gt;0.01,"over",AND(L37&lt;0.01,L37&gt;-0.01),"lige på")</f>
        <v>over</v>
      </c>
      <c r="N37" t="str" cm="1">
        <f t="array" ref="N37">IFERROR(_xlfn.IFS(AND(E37="under",I37="under",M37="under"),"Under alle tre år",AND(E37="over",I37="over",M37="over"),"Over alle år"),"")</f>
        <v>Over alle år</v>
      </c>
      <c r="O37" s="22">
        <f t="shared" si="3"/>
        <v>0.64175165789477784</v>
      </c>
      <c r="P37">
        <f>SUM(IF(D37&gt;0.01,1),IF(H37&gt;0.01,1),IF(L37&gt;0.01,1))</f>
        <v>3</v>
      </c>
      <c r="Q37">
        <f>SUM(IF(D37&lt;-0.01,1),IF(H37&lt;-0.01,1),IF(L37&lt;-0.01,1))</f>
        <v>0</v>
      </c>
      <c r="R37">
        <f>SUM(IF(E37="lige på",1,0),IF(I37="lige på",1,0),IF(M37="lige på",1,0))</f>
        <v>0</v>
      </c>
      <c r="S37">
        <f t="shared" si="4"/>
        <v>3</v>
      </c>
    </row>
    <row r="38" spans="1:19" x14ac:dyDescent="0.25">
      <c r="A38" t="s">
        <v>77</v>
      </c>
      <c r="B38" s="21">
        <f>_xlfn.XLOOKUP(A38,'2024'!B:B,'2024'!D:D)*1.06915938074864</f>
        <v>3076835.419193482</v>
      </c>
      <c r="C38" s="21">
        <f>_xlfn.XLOOKUP(A38,'2023-2025'!D:D,'2023-2025'!T:T)*1.06915938074864</f>
        <v>3064058.9645935358</v>
      </c>
      <c r="D38" s="21">
        <f t="shared" si="0"/>
        <v>-0.41524660435998584</v>
      </c>
      <c r="E38" s="21" t="str" cm="1">
        <f t="array" ref="E38">_xlfn.IFS(D38&lt;0,"under",D38&gt;0.01,"over",AND(D38&lt;0.01,D38&gt;-0.01),"lige på")</f>
        <v>under</v>
      </c>
      <c r="F38">
        <f>_xlfn.XLOOKUP(A38,'2025'!B:B,'2025'!D:D)*1.031</f>
        <v>3133082.1869999999</v>
      </c>
      <c r="G38">
        <f>_xlfn.XLOOKUP(A38,'2023-2025'!W:W,'2023-2025'!AE:AE)*1.031</f>
        <v>3113119.9649999999</v>
      </c>
      <c r="H38" s="21">
        <f t="shared" si="1"/>
        <v>-0.6371432604873466</v>
      </c>
      <c r="I38" s="21" t="str" cm="1">
        <f t="array" ref="I38">_xlfn.IFS(H38&lt;0,"under",H38&gt;0.01,"over",AND(H38&lt;0.01,H38&gt;-0.01),"lige på")</f>
        <v>under</v>
      </c>
      <c r="J38">
        <f>_xlfn.XLOOKUP(A38,'2026'!A:A,'2026'!P:P)</f>
        <v>3136941</v>
      </c>
      <c r="K38">
        <f>_xlfn.XLOOKUP(A38,'2026'!A:A,'2026'!G:G)</f>
        <v>3114714</v>
      </c>
      <c r="L38" s="21">
        <f t="shared" si="2"/>
        <v>-0.70855652050835516</v>
      </c>
      <c r="M38" s="21" t="str" cm="1">
        <f t="array" ref="M38">_xlfn.IFS(L38&lt;-0.01,"under",L38&gt;0.01,"over",AND(L38&lt;0.01,L38&gt;-0.01),"lige på")</f>
        <v>under</v>
      </c>
      <c r="N38" t="str" cm="1">
        <f t="array" ref="N38">IFERROR(_xlfn.IFS(AND(E38="under",I38="under",M38="under"),"Under alle tre år",AND(E38="over",I38="over",M38="over"),"Over alle år"),"")</f>
        <v>Under alle tre år</v>
      </c>
      <c r="O38" s="22">
        <f t="shared" si="3"/>
        <v>-0.58698212845189579</v>
      </c>
      <c r="P38">
        <f>SUM(IF(D38&gt;0.01,1),IF(H38&gt;0.01,1),IF(L38&gt;0.01,1))</f>
        <v>0</v>
      </c>
      <c r="Q38">
        <f>SUM(IF(D38&lt;-0.01,1),IF(H38&lt;-0.01,1),IF(L38&lt;-0.01,1))</f>
        <v>3</v>
      </c>
      <c r="R38">
        <f>SUM(IF(E38="lige på",1,0),IF(I38="lige på",1,0),IF(M38="lige på",1,0))</f>
        <v>0</v>
      </c>
      <c r="S38">
        <f t="shared" si="4"/>
        <v>3</v>
      </c>
    </row>
    <row r="39" spans="1:19" x14ac:dyDescent="0.25">
      <c r="A39" t="s">
        <v>73</v>
      </c>
      <c r="B39" s="21">
        <f>_xlfn.XLOOKUP(A39,'2024'!B:B,'2024'!D:D)*1.06915938074864</f>
        <v>4911727.8175936788</v>
      </c>
      <c r="C39" s="21">
        <f>_xlfn.XLOOKUP(A39,'2023-2025'!D:D,'2023-2025'!T:T)*1.06915938074864</f>
        <v>5015432.0008887732</v>
      </c>
      <c r="D39" s="21">
        <f t="shared" si="0"/>
        <v>2.1113585106167481</v>
      </c>
      <c r="E39" s="21" t="str" cm="1">
        <f t="array" ref="E39">_xlfn.IFS(D39&lt;0,"under",D39&gt;0.01,"over",AND(D39&lt;0.01,D39&gt;-0.01),"lige på")</f>
        <v>over</v>
      </c>
      <c r="F39">
        <f>_xlfn.XLOOKUP(A39,'2025'!B:B,'2025'!D:D)*1.031</f>
        <v>5130469.4169999994</v>
      </c>
      <c r="G39">
        <f>_xlfn.XLOOKUP(A39,'2023-2025'!W:W,'2023-2025'!AE:AE)*1.031</f>
        <v>5128422.8819999993</v>
      </c>
      <c r="H39" s="21">
        <f t="shared" si="1"/>
        <v>-3.988981969600832E-2</v>
      </c>
      <c r="I39" s="21" t="str" cm="1">
        <f t="array" ref="I39">_xlfn.IFS(H39&lt;0,"under",H39&gt;0.01,"over",AND(H39&lt;0.01,H39&gt;-0.01),"lige på")</f>
        <v>under</v>
      </c>
      <c r="J39">
        <f>_xlfn.XLOOKUP(A39,'2026'!A:A,'2026'!P:P)</f>
        <v>5169250</v>
      </c>
      <c r="K39">
        <f>_xlfn.XLOOKUP(A39,'2026'!A:A,'2026'!G:G)</f>
        <v>5201726</v>
      </c>
      <c r="L39" s="21">
        <f t="shared" si="2"/>
        <v>0.62825361512791988</v>
      </c>
      <c r="M39" s="21" t="str" cm="1">
        <f t="array" ref="M39">_xlfn.IFS(L39&lt;-0.01,"under",L39&gt;0.01,"over",AND(L39&lt;0.01,L39&gt;-0.01),"lige på")</f>
        <v>over</v>
      </c>
      <c r="N39" t="str" cm="1">
        <f t="array" ref="N39">IFERROR(_xlfn.IFS(AND(E39="under",I39="under",M39="under"),"Under alle tre år",AND(E39="over",I39="over",M39="over"),"Over alle år"),"")</f>
        <v/>
      </c>
      <c r="O39" s="22">
        <f t="shared" si="3"/>
        <v>0.8999074353495532</v>
      </c>
      <c r="P39">
        <f>SUM(IF(D39&gt;0.01,1),IF(H39&gt;0.01,1),IF(L39&gt;0.01,1))</f>
        <v>2</v>
      </c>
      <c r="Q39">
        <f>SUM(IF(D39&lt;-0.01,1),IF(H39&lt;-0.01,1),IF(L39&lt;-0.01,1))</f>
        <v>1</v>
      </c>
      <c r="R39">
        <f>SUM(IF(E39="lige på",1,0),IF(I39="lige på",1,0),IF(M39="lige på",1,0))</f>
        <v>0</v>
      </c>
      <c r="S39">
        <f t="shared" si="4"/>
        <v>3</v>
      </c>
    </row>
    <row r="40" spans="1:19" x14ac:dyDescent="0.25">
      <c r="A40" t="s">
        <v>17</v>
      </c>
      <c r="B40" s="21">
        <f>_xlfn.XLOOKUP(A40,'2024'!B:B,'2024'!D:D)*1.06915938074864</f>
        <v>3451140.6342779156</v>
      </c>
      <c r="C40" s="21">
        <f>_xlfn.XLOOKUP(A40,'2023-2025'!D:D,'2023-2025'!T:T)*1.06915938074864</f>
        <v>3445785.2149397456</v>
      </c>
      <c r="D40" s="21">
        <f t="shared" si="0"/>
        <v>-0.15517824121619694</v>
      </c>
      <c r="E40" s="21" t="str" cm="1">
        <f t="array" ref="E40">_xlfn.IFS(D40&lt;0,"under",D40&gt;0.01,"over",AND(D40&lt;0.01,D40&gt;-0.01),"lige på")</f>
        <v>under</v>
      </c>
      <c r="F40">
        <f>_xlfn.XLOOKUP(A40,'2025'!B:B,'2025'!D:D)*1.031</f>
        <v>3516879.1539999996</v>
      </c>
      <c r="G40">
        <f>_xlfn.XLOOKUP(A40,'2023-2025'!W:W,'2023-2025'!AE:AE)*1.031</f>
        <v>3495201.3479999998</v>
      </c>
      <c r="H40" s="21">
        <f t="shared" si="1"/>
        <v>-0.61639325807780854</v>
      </c>
      <c r="I40" s="21" t="str" cm="1">
        <f t="array" ref="I40">_xlfn.IFS(H40&lt;0,"under",H40&gt;0.01,"over",AND(H40&lt;0.01,H40&gt;-0.01),"lige på")</f>
        <v>under</v>
      </c>
      <c r="J40">
        <f>_xlfn.XLOOKUP(A40,'2026'!A:A,'2026'!P:P)</f>
        <v>3517762</v>
      </c>
      <c r="K40">
        <f>_xlfn.XLOOKUP(A40,'2026'!A:A,'2026'!G:G)</f>
        <v>3532694</v>
      </c>
      <c r="L40" s="21">
        <f t="shared" si="2"/>
        <v>0.42447442436412697</v>
      </c>
      <c r="M40" s="21" t="str" cm="1">
        <f t="array" ref="M40">_xlfn.IFS(L40&lt;-0.01,"under",L40&gt;0.01,"over",AND(L40&lt;0.01,L40&gt;-0.01),"lige på")</f>
        <v>over</v>
      </c>
      <c r="N40" t="str" cm="1">
        <f t="array" ref="N40">IFERROR(_xlfn.IFS(AND(E40="under",I40="under",M40="under"),"Under alle tre år",AND(E40="over",I40="over",M40="over"),"Over alle år"),"")</f>
        <v/>
      </c>
      <c r="O40" s="22">
        <f t="shared" si="3"/>
        <v>-0.11569902497662617</v>
      </c>
      <c r="P40">
        <f>SUM(IF(D40&gt;0.01,1),IF(H40&gt;0.01,1),IF(L40&gt;0.01,1))</f>
        <v>1</v>
      </c>
      <c r="Q40">
        <f>SUM(IF(D40&lt;-0.01,1),IF(H40&lt;-0.01,1),IF(L40&lt;-0.01,1))</f>
        <v>2</v>
      </c>
      <c r="R40">
        <f>SUM(IF(E40="lige på",1,0),IF(I40="lige på",1,0),IF(M40="lige på",1,0))</f>
        <v>0</v>
      </c>
      <c r="S40">
        <f t="shared" si="4"/>
        <v>3</v>
      </c>
    </row>
    <row r="41" spans="1:19" x14ac:dyDescent="0.25">
      <c r="A41" t="s">
        <v>18</v>
      </c>
      <c r="B41" s="21">
        <f>_xlfn.XLOOKUP(A41,'2024'!B:B,'2024'!D:D)*1.06915938074864</f>
        <v>3456136.8160641538</v>
      </c>
      <c r="C41" s="21">
        <f>_xlfn.XLOOKUP(A41,'2023-2025'!D:D,'2023-2025'!T:T)*1.06915938074864</f>
        <v>3523089.7148053953</v>
      </c>
      <c r="D41" s="21">
        <f t="shared" si="0"/>
        <v>1.9372178332189829</v>
      </c>
      <c r="E41" s="21" t="str" cm="1">
        <f t="array" ref="E41">_xlfn.IFS(D41&lt;0,"under",D41&gt;0.01,"over",AND(D41&lt;0.01,D41&gt;-0.01),"lige på")</f>
        <v>over</v>
      </c>
      <c r="F41">
        <f>_xlfn.XLOOKUP(A41,'2025'!B:B,'2025'!D:D)*1.031</f>
        <v>3596874.4439999997</v>
      </c>
      <c r="G41">
        <f>_xlfn.XLOOKUP(A41,'2023-2025'!W:W,'2023-2025'!AE:AE)*1.031</f>
        <v>3649824.5419999999</v>
      </c>
      <c r="H41" s="21">
        <f t="shared" si="1"/>
        <v>1.4721141597902336</v>
      </c>
      <c r="I41" s="21" t="str" cm="1">
        <f t="array" ref="I41">_xlfn.IFS(H41&lt;0,"under",H41&gt;0.01,"over",AND(H41&lt;0.01,H41&gt;-0.01),"lige på")</f>
        <v>over</v>
      </c>
      <c r="J41">
        <f>_xlfn.XLOOKUP(A41,'2026'!A:A,'2026'!P:P)</f>
        <v>3674345</v>
      </c>
      <c r="K41">
        <f>_xlfn.XLOOKUP(A41,'2026'!A:A,'2026'!G:G)</f>
        <v>3719558</v>
      </c>
      <c r="L41" s="21">
        <f t="shared" si="2"/>
        <v>1.2305050287874437</v>
      </c>
      <c r="M41" s="21" t="str" cm="1">
        <f t="array" ref="M41">_xlfn.IFS(L41&lt;-0.01,"under",L41&gt;0.01,"over",AND(L41&lt;0.01,L41&gt;-0.01),"lige på")</f>
        <v>over</v>
      </c>
      <c r="N41" t="str" cm="1">
        <f t="array" ref="N41">IFERROR(_xlfn.IFS(AND(E41="under",I41="under",M41="under"),"Under alle tre år",AND(E41="over",I41="over",M41="over"),"Over alle år"),"")</f>
        <v>Over alle år</v>
      </c>
      <c r="O41" s="22">
        <f t="shared" si="3"/>
        <v>1.5466123405988867</v>
      </c>
      <c r="P41">
        <f>SUM(IF(D41&gt;0.01,1),IF(H41&gt;0.01,1),IF(L41&gt;0.01,1))</f>
        <v>3</v>
      </c>
      <c r="Q41">
        <f>SUM(IF(D41&lt;-0.01,1),IF(H41&lt;-0.01,1),IF(L41&lt;-0.01,1))</f>
        <v>0</v>
      </c>
      <c r="R41">
        <f>SUM(IF(E41="lige på",1,0),IF(I41="lige på",1,0),IF(M41="lige på",1,0))</f>
        <v>0</v>
      </c>
      <c r="S41">
        <f t="shared" si="4"/>
        <v>3</v>
      </c>
    </row>
    <row r="42" spans="1:19" x14ac:dyDescent="0.25">
      <c r="A42" t="s">
        <v>29</v>
      </c>
      <c r="B42" s="21">
        <f>_xlfn.XLOOKUP(A42,'2024'!B:B,'2024'!D:D)*1.06915938074864</f>
        <v>1393922.9576073238</v>
      </c>
      <c r="C42" s="21">
        <f>_xlfn.XLOOKUP(A42,'2023-2025'!D:D,'2023-2025'!T:T)*1.06915938074864</f>
        <v>1409490.9873504047</v>
      </c>
      <c r="D42" s="21">
        <f t="shared" si="0"/>
        <v>1.1168500854454371</v>
      </c>
      <c r="E42" s="21" t="str" cm="1">
        <f t="array" ref="E42">_xlfn.IFS(D42&lt;0,"under",D42&gt;0.01,"over",AND(D42&lt;0.01,D42&gt;-0.01),"lige på")</f>
        <v>over</v>
      </c>
      <c r="F42">
        <f>_xlfn.XLOOKUP(A42,'2025'!B:B,'2025'!D:D)*1.031</f>
        <v>1438312.0149999999</v>
      </c>
      <c r="G42">
        <f>_xlfn.XLOOKUP(A42,'2023-2025'!W:W,'2023-2025'!AE:AE)*1.031</f>
        <v>1438358.41</v>
      </c>
      <c r="H42" s="21">
        <f t="shared" si="1"/>
        <v>3.2256561522235935E-3</v>
      </c>
      <c r="I42" s="21" t="str" cm="1">
        <f t="array" ref="I42">_xlfn.IFS(H42&lt;0,"under",H42&gt;0.01,"over",AND(H42&lt;0.01,H42&gt;-0.01),"lige på")</f>
        <v>lige på</v>
      </c>
      <c r="J42">
        <f>_xlfn.XLOOKUP(A42,'2026'!A:A,'2026'!P:P)</f>
        <v>1447369</v>
      </c>
      <c r="K42">
        <f>_xlfn.XLOOKUP(A42,'2026'!A:A,'2026'!G:G)</f>
        <v>1447330</v>
      </c>
      <c r="L42" s="21">
        <f t="shared" si="2"/>
        <v>-2.6945443767277038E-3</v>
      </c>
      <c r="M42" s="21" t="str" cm="1">
        <f t="array" ref="M42">_xlfn.IFS(L42&lt;-0.01,"under",L42&gt;0.01,"over",AND(L42&lt;0.01,L42&gt;-0.01),"lige på")</f>
        <v>lige på</v>
      </c>
      <c r="N42" t="str" cm="1">
        <f t="array" ref="N42">IFERROR(_xlfn.IFS(AND(E42="under",I42="under",M42="under"),"Under alle tre år",AND(E42="over",I42="over",M42="over"),"Over alle år"),"")</f>
        <v/>
      </c>
      <c r="O42" s="22">
        <f t="shared" si="3"/>
        <v>0.37246039907364431</v>
      </c>
      <c r="P42">
        <f>SUM(IF(D42&gt;0.01,1),IF(H42&gt;0.01,1),IF(L42&gt;0.01,1))</f>
        <v>1</v>
      </c>
      <c r="Q42">
        <f>SUM(IF(D42&lt;-0.01,1),IF(H42&lt;-0.01,1),IF(L42&lt;-0.01,1))</f>
        <v>0</v>
      </c>
      <c r="R42">
        <f>SUM(IF(E42="lige på",1,0),IF(I42="lige på",1,0),IF(M42="lige på",1,0))</f>
        <v>2</v>
      </c>
      <c r="S42">
        <f t="shared" si="4"/>
        <v>3</v>
      </c>
    </row>
    <row r="43" spans="1:19" x14ac:dyDescent="0.25">
      <c r="A43" t="s">
        <v>89</v>
      </c>
      <c r="B43" s="21">
        <f>_xlfn.XLOOKUP(A43,'2024'!B:B,'2024'!D:D)*1.06915938074864</f>
        <v>2130819.6776007088</v>
      </c>
      <c r="C43" s="21">
        <f>_xlfn.XLOOKUP(A43,'2023-2025'!D:D,'2023-2025'!T:T)*1.06915938074864</f>
        <v>2171774.8968396662</v>
      </c>
      <c r="D43" s="21">
        <f t="shared" si="0"/>
        <v>1.9220405963714744</v>
      </c>
      <c r="E43" s="21" t="str" cm="1">
        <f t="array" ref="E43">_xlfn.IFS(D43&lt;0,"under",D43&gt;0.01,"over",AND(D43&lt;0.01,D43&gt;-0.01),"lige på")</f>
        <v>over</v>
      </c>
      <c r="F43">
        <f>_xlfn.XLOOKUP(A43,'2025'!B:B,'2025'!D:D)*1.031</f>
        <v>2222118.4239999996</v>
      </c>
      <c r="G43">
        <f>_xlfn.XLOOKUP(A43,'2023-2025'!W:W,'2023-2025'!AE:AE)*1.031</f>
        <v>2217253.1349999998</v>
      </c>
      <c r="H43" s="21">
        <f t="shared" si="1"/>
        <v>-0.21894823189674764</v>
      </c>
      <c r="I43" s="21" t="str" cm="1">
        <f t="array" ref="I43">_xlfn.IFS(H43&lt;0,"under",H43&gt;0.01,"over",AND(H43&lt;0.01,H43&gt;-0.01),"lige på")</f>
        <v>under</v>
      </c>
      <c r="J43">
        <f>_xlfn.XLOOKUP(A43,'2026'!A:A,'2026'!P:P)</f>
        <v>2235040</v>
      </c>
      <c r="K43">
        <f>_xlfn.XLOOKUP(A43,'2026'!A:A,'2026'!G:G)</f>
        <v>2232609</v>
      </c>
      <c r="L43" s="21">
        <f t="shared" si="2"/>
        <v>-0.1087676283198511</v>
      </c>
      <c r="M43" s="21" t="str" cm="1">
        <f t="array" ref="M43">_xlfn.IFS(L43&lt;-0.01,"under",L43&gt;0.01,"over",AND(L43&lt;0.01,L43&gt;-0.01),"lige på")</f>
        <v>under</v>
      </c>
      <c r="N43" t="str" cm="1">
        <f t="array" ref="N43">IFERROR(_xlfn.IFS(AND(E43="under",I43="under",M43="under"),"Under alle tre år",AND(E43="over",I43="over",M43="over"),"Over alle år"),"")</f>
        <v/>
      </c>
      <c r="O43" s="22">
        <f t="shared" si="3"/>
        <v>0.5314415787182919</v>
      </c>
      <c r="P43">
        <f>SUM(IF(D43&gt;0.01,1),IF(H43&gt;0.01,1),IF(L43&gt;0.01,1))</f>
        <v>1</v>
      </c>
      <c r="Q43">
        <f>SUM(IF(D43&lt;-0.01,1),IF(H43&lt;-0.01,1),IF(L43&lt;-0.01,1))</f>
        <v>2</v>
      </c>
      <c r="R43">
        <f>SUM(IF(E43="lige på",1,0),IF(I43="lige på",1,0),IF(M43="lige på",1,0))</f>
        <v>0</v>
      </c>
      <c r="S43">
        <f t="shared" si="4"/>
        <v>3</v>
      </c>
    </row>
    <row r="44" spans="1:19" x14ac:dyDescent="0.25">
      <c r="A44" t="s">
        <v>21</v>
      </c>
      <c r="B44" s="21">
        <f>_xlfn.XLOOKUP(A44,'2024'!B:B,'2024'!D:D)*1.06915938074864</f>
        <v>1598916.0931564027</v>
      </c>
      <c r="C44" s="21">
        <f>_xlfn.XLOOKUP(A44,'2023-2025'!D:D,'2023-2025'!T:T)*1.06915938074864</f>
        <v>1602336.3340154176</v>
      </c>
      <c r="D44" s="21">
        <f t="shared" si="0"/>
        <v>0.2139099652354523</v>
      </c>
      <c r="E44" s="21" t="str" cm="1">
        <f t="array" ref="E44">_xlfn.IFS(D44&lt;0,"under",D44&gt;0.01,"over",AND(D44&lt;0.01,D44&gt;-0.01),"lige på")</f>
        <v>over</v>
      </c>
      <c r="F44">
        <f>_xlfn.XLOOKUP(A44,'2025'!B:B,'2025'!D:D)*1.031</f>
        <v>1636643.423</v>
      </c>
      <c r="G44">
        <f>_xlfn.XLOOKUP(A44,'2023-2025'!W:W,'2023-2025'!AE:AE)*1.031</f>
        <v>1641798.423</v>
      </c>
      <c r="H44" s="21">
        <f t="shared" si="1"/>
        <v>0.31497392330888929</v>
      </c>
      <c r="I44" s="21" t="str" cm="1">
        <f t="array" ref="I44">_xlfn.IFS(H44&lt;0,"under",H44&gt;0.01,"over",AND(H44&lt;0.01,H44&gt;-0.01),"lige på")</f>
        <v>over</v>
      </c>
      <c r="J44">
        <f>_xlfn.XLOOKUP(A44,'2026'!A:A,'2026'!P:P)</f>
        <v>1653167</v>
      </c>
      <c r="K44">
        <f>_xlfn.XLOOKUP(A44,'2026'!A:A,'2026'!G:G)</f>
        <v>1653253</v>
      </c>
      <c r="L44" s="21">
        <f t="shared" si="2"/>
        <v>5.2021362633055219E-3</v>
      </c>
      <c r="M44" s="21" t="str" cm="1">
        <f t="array" ref="M44">_xlfn.IFS(L44&lt;-0.01,"under",L44&gt;0.01,"over",AND(L44&lt;0.01,L44&gt;-0.01),"lige på")</f>
        <v>lige på</v>
      </c>
      <c r="N44" t="str" cm="1">
        <f t="array" ref="N44">IFERROR(_xlfn.IFS(AND(E44="under",I44="under",M44="under"),"Under alle tre år",AND(E44="over",I44="over",M44="over"),"Over alle år"),"")</f>
        <v/>
      </c>
      <c r="O44" s="22">
        <f t="shared" si="3"/>
        <v>0.17802867493588237</v>
      </c>
      <c r="P44">
        <f>SUM(IF(D44&gt;0.01,1),IF(H44&gt;0.01,1),IF(L44&gt;0.01,1))</f>
        <v>2</v>
      </c>
      <c r="Q44">
        <f>SUM(IF(D44&lt;-0.01,1),IF(H44&lt;-0.01,1),IF(L44&lt;-0.01,1))</f>
        <v>0</v>
      </c>
      <c r="R44">
        <f>SUM(IF(E44="lige på",1,0),IF(I44="lige på",1,0),IF(M44="lige på",1,0))</f>
        <v>1</v>
      </c>
      <c r="S44">
        <f t="shared" si="4"/>
        <v>3</v>
      </c>
    </row>
    <row r="45" spans="1:19" x14ac:dyDescent="0.25">
      <c r="A45" t="s">
        <v>102</v>
      </c>
      <c r="B45" s="21">
        <f>_xlfn.XLOOKUP(A45,'2024'!B:B,'2024'!D:D)*1.06915938074864</f>
        <v>2174228.6176184844</v>
      </c>
      <c r="C45" s="21">
        <f>_xlfn.XLOOKUP(A45,'2023-2025'!D:D,'2023-2025'!T:T)*1.06915938074864</f>
        <v>2172830.157148465</v>
      </c>
      <c r="D45" s="21">
        <f t="shared" si="0"/>
        <v>-6.4319844688235275E-2</v>
      </c>
      <c r="E45" s="21" t="str" cm="1">
        <f t="array" ref="E45">_xlfn.IFS(D45&lt;0,"under",D45&gt;0.01,"over",AND(D45&lt;0.01,D45&gt;-0.01),"lige på")</f>
        <v>under</v>
      </c>
      <c r="F45">
        <f>_xlfn.XLOOKUP(A45,'2025'!B:B,'2025'!D:D)*1.031</f>
        <v>2220102.8189999997</v>
      </c>
      <c r="G45">
        <f>_xlfn.XLOOKUP(A45,'2023-2025'!W:W,'2023-2025'!AE:AE)*1.031</f>
        <v>2155682.8459999999</v>
      </c>
      <c r="H45" s="21">
        <f t="shared" si="1"/>
        <v>-2.9016661953078566</v>
      </c>
      <c r="I45" s="21" t="str" cm="1">
        <f t="array" ref="I45">_xlfn.IFS(H45&lt;0,"under",H45&gt;0.01,"over",AND(H45&lt;0.01,H45&gt;-0.01),"lige på")</f>
        <v>under</v>
      </c>
      <c r="J45">
        <f>_xlfn.XLOOKUP(A45,'2026'!A:A,'2026'!P:P)</f>
        <v>2171427</v>
      </c>
      <c r="K45">
        <f>_xlfn.XLOOKUP(A45,'2026'!A:A,'2026'!G:G)</f>
        <v>2171400</v>
      </c>
      <c r="L45" s="21">
        <f t="shared" si="2"/>
        <v>-1.243421952476413E-3</v>
      </c>
      <c r="M45" s="21" t="str" cm="1">
        <f t="array" ref="M45">_xlfn.IFS(L45&lt;-0.01,"under",L45&gt;0.01,"over",AND(L45&lt;0.01,L45&gt;-0.01),"lige på")</f>
        <v>lige på</v>
      </c>
      <c r="N45" t="str" cm="1">
        <f t="array" ref="N45">IFERROR(_xlfn.IFS(AND(E45="under",I45="under",M45="under"),"Under alle tre år",AND(E45="over",I45="over",M45="over"),"Over alle år"),"")</f>
        <v/>
      </c>
      <c r="O45" s="22">
        <f t="shared" si="3"/>
        <v>-0.98907648731618947</v>
      </c>
      <c r="P45">
        <f>SUM(IF(D45&gt;0.01,1),IF(H45&gt;0.01,1),IF(L45&gt;0.01,1))</f>
        <v>0</v>
      </c>
      <c r="Q45">
        <f>SUM(IF(D45&lt;-0.01,1),IF(H45&lt;-0.01,1),IF(L45&lt;-0.01,1))</f>
        <v>2</v>
      </c>
      <c r="R45">
        <f>SUM(IF(E45="lige på",1,0),IF(I45="lige på",1,0),IF(M45="lige på",1,0))</f>
        <v>1</v>
      </c>
      <c r="S45">
        <f t="shared" si="4"/>
        <v>3</v>
      </c>
    </row>
    <row r="46" spans="1:19" x14ac:dyDescent="0.25">
      <c r="A46" t="s">
        <v>42</v>
      </c>
      <c r="B46" s="21">
        <f>_xlfn.XLOOKUP(A46,'2024'!B:B,'2024'!D:D)*1.06915938074864</f>
        <v>2737092.9194105095</v>
      </c>
      <c r="C46" s="21">
        <f>_xlfn.XLOOKUP(A46,'2023-2025'!D:D,'2023-2025'!T:T)*1.06915938074864</f>
        <v>2759611.5542878374</v>
      </c>
      <c r="D46" s="21">
        <f t="shared" si="0"/>
        <v>0.82272087723560694</v>
      </c>
      <c r="E46" s="21" t="str" cm="1">
        <f t="array" ref="E46">_xlfn.IFS(D46&lt;0,"under",D46&gt;0.01,"over",AND(D46&lt;0.01,D46&gt;-0.01),"lige på")</f>
        <v>over</v>
      </c>
      <c r="F46">
        <f>_xlfn.XLOOKUP(A46,'2025'!B:B,'2025'!D:D)*1.031</f>
        <v>2823006.875</v>
      </c>
      <c r="G46">
        <f>_xlfn.XLOOKUP(A46,'2023-2025'!W:W,'2023-2025'!AE:AE)*1.031</f>
        <v>2811745.2619999996</v>
      </c>
      <c r="H46" s="21">
        <f t="shared" si="1"/>
        <v>-0.39892262040631277</v>
      </c>
      <c r="I46" s="21" t="str" cm="1">
        <f t="array" ref="I46">_xlfn.IFS(H46&lt;0,"under",H46&gt;0.01,"over",AND(H46&lt;0.01,H46&gt;-0.01),"lige på")</f>
        <v>under</v>
      </c>
      <c r="J46">
        <f>_xlfn.XLOOKUP(A46,'2026'!A:A,'2026'!P:P)</f>
        <v>2833509</v>
      </c>
      <c r="K46">
        <f>_xlfn.XLOOKUP(A46,'2026'!A:A,'2026'!G:G)</f>
        <v>2833541</v>
      </c>
      <c r="L46" s="21">
        <f t="shared" si="2"/>
        <v>1.1293417455176603E-3</v>
      </c>
      <c r="M46" s="21" t="str" cm="1">
        <f t="array" ref="M46">_xlfn.IFS(L46&lt;-0.01,"under",L46&gt;0.01,"over",AND(L46&lt;0.01,L46&gt;-0.01),"lige på")</f>
        <v>lige på</v>
      </c>
      <c r="N46" t="str" cm="1">
        <f t="array" ref="N46">IFERROR(_xlfn.IFS(AND(E46="under",I46="under",M46="under"),"Under alle tre år",AND(E46="over",I46="over",M46="over"),"Over alle år"),"")</f>
        <v/>
      </c>
      <c r="O46" s="22">
        <f t="shared" si="3"/>
        <v>0.14164253285827061</v>
      </c>
      <c r="P46">
        <f>SUM(IF(D46&gt;0.01,1),IF(H46&gt;0.01,1),IF(L46&gt;0.01,1))</f>
        <v>1</v>
      </c>
      <c r="Q46">
        <f>SUM(IF(D46&lt;-0.01,1),IF(H46&lt;-0.01,1),IF(L46&lt;-0.01,1))</f>
        <v>1</v>
      </c>
      <c r="R46">
        <f>SUM(IF(E46="lige på",1,0),IF(I46="lige på",1,0),IF(M46="lige på",1,0))</f>
        <v>1</v>
      </c>
      <c r="S46">
        <f t="shared" si="4"/>
        <v>3</v>
      </c>
    </row>
    <row r="47" spans="1:19" x14ac:dyDescent="0.25">
      <c r="A47" t="s">
        <v>56</v>
      </c>
      <c r="B47" s="21">
        <f>_xlfn.XLOOKUP(A47,'2024'!B:B,'2024'!D:D)*1.06915938074864</f>
        <v>1350700.0513217985</v>
      </c>
      <c r="C47" s="21">
        <f>_xlfn.XLOOKUP(A47,'2023-2025'!D:D,'2023-2025'!T:T)*1.06915938074864</f>
        <v>1352710.070957606</v>
      </c>
      <c r="D47" s="21">
        <f t="shared" si="0"/>
        <v>0.14881317534862606</v>
      </c>
      <c r="E47" s="21" t="str" cm="1">
        <f t="array" ref="E47">_xlfn.IFS(D47&lt;0,"under",D47&gt;0.01,"over",AND(D47&lt;0.01,D47&gt;-0.01),"lige på")</f>
        <v>over</v>
      </c>
      <c r="F47">
        <f>_xlfn.XLOOKUP(A47,'2025'!B:B,'2025'!D:D)*1.031</f>
        <v>1382332.8389999999</v>
      </c>
      <c r="G47">
        <f>_xlfn.XLOOKUP(A47,'2023-2025'!W:W,'2023-2025'!AE:AE)*1.031</f>
        <v>1350948.1679999998</v>
      </c>
      <c r="H47" s="21">
        <f t="shared" si="1"/>
        <v>-2.2704134716718607</v>
      </c>
      <c r="I47" s="21" t="str" cm="1">
        <f t="array" ref="I47">_xlfn.IFS(H47&lt;0,"under",H47&gt;0.01,"over",AND(H47&lt;0.01,H47&gt;-0.01),"lige på")</f>
        <v>under</v>
      </c>
      <c r="J47">
        <f>_xlfn.XLOOKUP(A47,'2026'!A:A,'2026'!P:P)</f>
        <v>1360851</v>
      </c>
      <c r="K47">
        <f>_xlfn.XLOOKUP(A47,'2026'!A:A,'2026'!G:G)</f>
        <v>1361227</v>
      </c>
      <c r="L47" s="21">
        <f t="shared" si="2"/>
        <v>2.7629769901333798E-2</v>
      </c>
      <c r="M47" s="21" t="str" cm="1">
        <f t="array" ref="M47">_xlfn.IFS(L47&lt;-0.01,"under",L47&gt;0.01,"over",AND(L47&lt;0.01,L47&gt;-0.01),"lige på")</f>
        <v>over</v>
      </c>
      <c r="N47" t="str" cm="1">
        <f t="array" ref="N47">IFERROR(_xlfn.IFS(AND(E47="under",I47="under",M47="under"),"Under alle tre år",AND(E47="over",I47="over",M47="over"),"Over alle år"),"")</f>
        <v/>
      </c>
      <c r="O47" s="22">
        <f t="shared" si="3"/>
        <v>-0.69799017547396691</v>
      </c>
      <c r="P47">
        <f>SUM(IF(D47&gt;0.01,1),IF(H47&gt;0.01,1),IF(L47&gt;0.01,1))</f>
        <v>2</v>
      </c>
      <c r="Q47">
        <f>SUM(IF(D47&lt;-0.01,1),IF(H47&lt;-0.01,1),IF(L47&lt;-0.01,1))</f>
        <v>1</v>
      </c>
      <c r="R47">
        <f>SUM(IF(E47="lige på",1,0),IF(I47="lige på",1,0),IF(M47="lige på",1,0))</f>
        <v>0</v>
      </c>
      <c r="S47">
        <f t="shared" si="4"/>
        <v>3</v>
      </c>
    </row>
    <row r="48" spans="1:19" x14ac:dyDescent="0.25">
      <c r="A48" t="s">
        <v>74</v>
      </c>
      <c r="B48" s="21">
        <f>_xlfn.XLOOKUP(A48,'2024'!B:B,'2024'!D:D)*1.06915938074864</f>
        <v>4906840.6900642766</v>
      </c>
      <c r="C48" s="21">
        <f>_xlfn.XLOOKUP(A48,'2023-2025'!D:D,'2023-2025'!T:T)*1.06915938074864</f>
        <v>4956733.012566912</v>
      </c>
      <c r="D48" s="21">
        <f t="shared" si="0"/>
        <v>1.0167911626652355</v>
      </c>
      <c r="E48" s="21" t="str" cm="1">
        <f t="array" ref="E48">_xlfn.IFS(D48&lt;0,"under",D48&gt;0.01,"over",AND(D48&lt;0.01,D48&gt;-0.01),"lige på")</f>
        <v>over</v>
      </c>
      <c r="F48">
        <f>_xlfn.XLOOKUP(A48,'2025'!B:B,'2025'!D:D)*1.031</f>
        <v>5069384.7289999994</v>
      </c>
      <c r="G48">
        <f>_xlfn.XLOOKUP(A48,'2023-2025'!W:W,'2023-2025'!AE:AE)*1.031</f>
        <v>5113748.659</v>
      </c>
      <c r="H48" s="21">
        <f t="shared" si="1"/>
        <v>0.87513440726271297</v>
      </c>
      <c r="I48" s="21" t="str" cm="1">
        <f t="array" ref="I48">_xlfn.IFS(H48&lt;0,"under",H48&gt;0.01,"over",AND(H48&lt;0.01,H48&gt;-0.01),"lige på")</f>
        <v>over</v>
      </c>
      <c r="J48">
        <f>_xlfn.XLOOKUP(A48,'2026'!A:A,'2026'!P:P)</f>
        <v>5152999</v>
      </c>
      <c r="K48">
        <f>_xlfn.XLOOKUP(A48,'2026'!A:A,'2026'!G:G)</f>
        <v>5165025</v>
      </c>
      <c r="L48" s="21">
        <f t="shared" si="2"/>
        <v>0.23337865968924115</v>
      </c>
      <c r="M48" s="21" t="str" cm="1">
        <f t="array" ref="M48">_xlfn.IFS(L48&lt;-0.01,"under",L48&gt;0.01,"over",AND(L48&lt;0.01,L48&gt;-0.01),"lige på")</f>
        <v>over</v>
      </c>
      <c r="N48" t="str" cm="1">
        <f t="array" ref="N48">IFERROR(_xlfn.IFS(AND(E48="under",I48="under",M48="under"),"Under alle tre år",AND(E48="over",I48="over",M48="over"),"Over alle år"),"")</f>
        <v>Over alle år</v>
      </c>
      <c r="O48" s="22">
        <f t="shared" si="3"/>
        <v>0.70843474320572986</v>
      </c>
      <c r="P48">
        <f>SUM(IF(D48&gt;0.01,1),IF(H48&gt;0.01,1),IF(L48&gt;0.01,1))</f>
        <v>3</v>
      </c>
      <c r="Q48">
        <f>SUM(IF(D48&lt;-0.01,1),IF(H48&lt;-0.01,1),IF(L48&lt;-0.01,1))</f>
        <v>0</v>
      </c>
      <c r="R48">
        <f>SUM(IF(E48="lige på",1,0),IF(I48="lige på",1,0),IF(M48="lige på",1,0))</f>
        <v>0</v>
      </c>
      <c r="S48">
        <f t="shared" si="4"/>
        <v>3</v>
      </c>
    </row>
    <row r="49" spans="1:19" x14ac:dyDescent="0.25">
      <c r="A49" t="s">
        <v>7</v>
      </c>
      <c r="B49" s="21">
        <f>_xlfn.XLOOKUP(A49,'2024'!B:B,'2024'!D:D)*1.06915938074864</f>
        <v>33676869.711498283</v>
      </c>
      <c r="C49" s="21">
        <f>_xlfn.XLOOKUP(A49,'2023-2025'!D:D,'2023-2025'!T:T)*1.06915938074864</f>
        <v>34188319.207829483</v>
      </c>
      <c r="D49" s="21">
        <f t="shared" si="0"/>
        <v>1.5186966624649678</v>
      </c>
      <c r="E49" s="21" t="str" cm="1">
        <f t="array" ref="E49">_xlfn.IFS(D49&lt;0,"under",D49&gt;0.01,"over",AND(D49&lt;0.01,D49&gt;-0.01),"lige på")</f>
        <v>over</v>
      </c>
      <c r="F49">
        <f>_xlfn.XLOOKUP(A49,'2025'!B:B,'2025'!D:D)*1.031</f>
        <v>34945415.079999998</v>
      </c>
      <c r="G49">
        <f>_xlfn.XLOOKUP(A49,'2023-2025'!W:W,'2023-2025'!AE:AE)*1.031</f>
        <v>35151615.079999998</v>
      </c>
      <c r="H49" s="21">
        <f t="shared" si="1"/>
        <v>0.59006310134805817</v>
      </c>
      <c r="I49" s="21" t="str" cm="1">
        <f t="array" ref="I49">_xlfn.IFS(H49&lt;0,"under",H49&gt;0.01,"over",AND(H49&lt;0.01,H49&gt;-0.01),"lige på")</f>
        <v>over</v>
      </c>
      <c r="J49">
        <f>_xlfn.XLOOKUP(A49,'2026'!A:A,'2026'!P:P)</f>
        <v>35407924</v>
      </c>
      <c r="K49">
        <f>_xlfn.XLOOKUP(A49,'2026'!A:A,'2026'!G:G)</f>
        <v>35407099</v>
      </c>
      <c r="L49" s="21">
        <f t="shared" si="2"/>
        <v>-2.3299869260903295E-3</v>
      </c>
      <c r="M49" s="21" t="str" cm="1">
        <f t="array" ref="M49">_xlfn.IFS(L49&lt;-0.01,"under",L49&gt;0.01,"over",AND(L49&lt;0.01,L49&gt;-0.01),"lige på")</f>
        <v>lige på</v>
      </c>
      <c r="N49" t="str" cm="1">
        <f t="array" ref="N49">IFERROR(_xlfn.IFS(AND(E49="under",I49="under",M49="under"),"Under alle tre år",AND(E49="over",I49="over",M49="over"),"Over alle år"),"")</f>
        <v/>
      </c>
      <c r="O49" s="22">
        <f t="shared" si="3"/>
        <v>0.70214325896231189</v>
      </c>
      <c r="P49">
        <f>SUM(IF(D49&gt;0.01,1),IF(H49&gt;0.01,1),IF(L49&gt;0.01,1))</f>
        <v>2</v>
      </c>
      <c r="Q49">
        <f>SUM(IF(D49&lt;-0.01,1),IF(H49&lt;-0.01,1),IF(L49&lt;-0.01,1))</f>
        <v>0</v>
      </c>
      <c r="R49">
        <f>SUM(IF(E49="lige på",1,0),IF(I49="lige på",1,0),IF(M49="lige på",1,0))</f>
        <v>1</v>
      </c>
      <c r="S49">
        <f t="shared" si="4"/>
        <v>3</v>
      </c>
    </row>
    <row r="50" spans="1:19" x14ac:dyDescent="0.25">
      <c r="A50" t="s">
        <v>34</v>
      </c>
      <c r="B50" s="21">
        <f>_xlfn.XLOOKUP(A50,'2024'!B:B,'2024'!D:D)*1.06915938074864</f>
        <v>3503703.716913661</v>
      </c>
      <c r="C50" s="21">
        <f>_xlfn.XLOOKUP(A50,'2023-2025'!D:D,'2023-2025'!T:T)*1.06915938074864</f>
        <v>3553933.8937806129</v>
      </c>
      <c r="D50" s="21">
        <f t="shared" si="0"/>
        <v>1.4336308354063274</v>
      </c>
      <c r="E50" s="21" t="str" cm="1">
        <f t="array" ref="E50">_xlfn.IFS(D50&lt;0,"under",D50&gt;0.01,"over",AND(D50&lt;0.01,D50&gt;-0.01),"lige på")</f>
        <v>over</v>
      </c>
      <c r="F50">
        <f>_xlfn.XLOOKUP(A50,'2025'!B:B,'2025'!D:D)*1.031</f>
        <v>3630987.1409999998</v>
      </c>
      <c r="G50">
        <f>_xlfn.XLOOKUP(A50,'2023-2025'!W:W,'2023-2025'!AE:AE)*1.031</f>
        <v>3713530.0319999997</v>
      </c>
      <c r="H50" s="21">
        <f t="shared" si="1"/>
        <v>2.2732906450686832</v>
      </c>
      <c r="I50" s="21" t="str" cm="1">
        <f t="array" ref="I50">_xlfn.IFS(H50&lt;0,"under",H50&gt;0.01,"over",AND(H50&lt;0.01,H50&gt;-0.01),"lige på")</f>
        <v>over</v>
      </c>
      <c r="J50">
        <f>_xlfn.XLOOKUP(A50,'2026'!A:A,'2026'!P:P)</f>
        <v>3739044</v>
      </c>
      <c r="K50">
        <f>_xlfn.XLOOKUP(A50,'2026'!A:A,'2026'!G:G)</f>
        <v>3720893</v>
      </c>
      <c r="L50" s="21">
        <f t="shared" si="2"/>
        <v>-0.48544494261099896</v>
      </c>
      <c r="M50" s="21" t="str" cm="1">
        <f t="array" ref="M50">_xlfn.IFS(L50&lt;-0.01,"under",L50&gt;0.01,"over",AND(L50&lt;0.01,L50&gt;-0.01),"lige på")</f>
        <v>under</v>
      </c>
      <c r="N50" t="str" cm="1">
        <f t="array" ref="N50">IFERROR(_xlfn.IFS(AND(E50="under",I50="under",M50="under"),"Under alle tre år",AND(E50="over",I50="over",M50="over"),"Over alle år"),"")</f>
        <v/>
      </c>
      <c r="O50" s="22">
        <f t="shared" si="3"/>
        <v>1.0738255126213372</v>
      </c>
      <c r="P50">
        <f>SUM(IF(D50&gt;0.01,1),IF(H50&gt;0.01,1),IF(L50&gt;0.01,1))</f>
        <v>2</v>
      </c>
      <c r="Q50">
        <f>SUM(IF(D50&lt;-0.01,1),IF(H50&lt;-0.01,1),IF(L50&lt;-0.01,1))</f>
        <v>1</v>
      </c>
      <c r="R50">
        <f>SUM(IF(E50="lige på",1,0),IF(I50="lige på",1,0),IF(M50="lige på",1,0))</f>
        <v>0</v>
      </c>
      <c r="S50">
        <f t="shared" si="4"/>
        <v>3</v>
      </c>
    </row>
    <row r="51" spans="1:19" x14ac:dyDescent="0.25">
      <c r="A51" t="s">
        <v>61</v>
      </c>
      <c r="B51" s="21">
        <f>_xlfn.XLOOKUP(A51,'2024'!B:B,'2024'!D:D)*1.06915938074864</f>
        <v>831940.71230441623</v>
      </c>
      <c r="C51" s="21">
        <f>_xlfn.XLOOKUP(A51,'2023-2025'!D:D,'2023-2025'!T:T)*1.06915938074864</f>
        <v>845955.25346726936</v>
      </c>
      <c r="D51" s="21">
        <f t="shared" si="0"/>
        <v>1.6845600840994852</v>
      </c>
      <c r="E51" s="21" t="str" cm="1">
        <f t="array" ref="E51">_xlfn.IFS(D51&lt;0,"under",D51&gt;0.01,"over",AND(D51&lt;0.01,D51&gt;-0.01),"lige på")</f>
        <v>over</v>
      </c>
      <c r="F51">
        <f>_xlfn.XLOOKUP(A51,'2025'!B:B,'2025'!D:D)*1.031</f>
        <v>863407.85699999996</v>
      </c>
      <c r="G51">
        <f>_xlfn.XLOOKUP(A51,'2023-2025'!W:W,'2023-2025'!AE:AE)*1.031</f>
        <v>860522.08799999987</v>
      </c>
      <c r="H51" s="21">
        <f t="shared" si="1"/>
        <v>-0.33423010650227242</v>
      </c>
      <c r="I51" s="21" t="str" cm="1">
        <f t="array" ref="I51">_xlfn.IFS(H51&lt;0,"under",H51&gt;0.01,"over",AND(H51&lt;0.01,H51&gt;-0.01),"lige på")</f>
        <v>under</v>
      </c>
      <c r="J51">
        <f>_xlfn.XLOOKUP(A51,'2026'!A:A,'2026'!P:P)</f>
        <v>865966</v>
      </c>
      <c r="K51">
        <f>_xlfn.XLOOKUP(A51,'2026'!A:A,'2026'!G:G)</f>
        <v>864656</v>
      </c>
      <c r="L51" s="21">
        <f t="shared" si="2"/>
        <v>-0.15127614710046353</v>
      </c>
      <c r="M51" s="21" t="str" cm="1">
        <f t="array" ref="M51">_xlfn.IFS(L51&lt;-0.01,"under",L51&gt;0.01,"over",AND(L51&lt;0.01,L51&gt;-0.01),"lige på")</f>
        <v>under</v>
      </c>
      <c r="N51" t="str" cm="1">
        <f t="array" ref="N51">IFERROR(_xlfn.IFS(AND(E51="under",I51="under",M51="under"),"Under alle tre år",AND(E51="over",I51="over",M51="over"),"Over alle år"),"")</f>
        <v/>
      </c>
      <c r="O51" s="22">
        <f t="shared" si="3"/>
        <v>0.3996846101655831</v>
      </c>
      <c r="P51">
        <f>SUM(IF(D51&gt;0.01,1),IF(H51&gt;0.01,1),IF(L51&gt;0.01,1))</f>
        <v>1</v>
      </c>
      <c r="Q51">
        <f>SUM(IF(D51&lt;-0.01,1),IF(H51&lt;-0.01,1),IF(L51&lt;-0.01,1))</f>
        <v>2</v>
      </c>
      <c r="R51">
        <f>SUM(IF(E51="lige på",1,0),IF(I51="lige på",1,0),IF(M51="lige på",1,0))</f>
        <v>0</v>
      </c>
      <c r="S51">
        <f t="shared" si="4"/>
        <v>3</v>
      </c>
    </row>
    <row r="52" spans="1:19" x14ac:dyDescent="0.25">
      <c r="A52" t="s">
        <v>47</v>
      </c>
      <c r="B52" s="21">
        <f>_xlfn.XLOOKUP(A52,'2024'!B:B,'2024'!D:D)*1.06915938074864</f>
        <v>1556909.8902461694</v>
      </c>
      <c r="C52" s="21">
        <f>_xlfn.XLOOKUP(A52,'2023-2025'!D:D,'2023-2025'!T:T)*1.06915938074864</f>
        <v>1594870.3940596499</v>
      </c>
      <c r="D52" s="21">
        <f t="shared" si="0"/>
        <v>2.4381953028430181</v>
      </c>
      <c r="E52" s="21" t="str" cm="1">
        <f t="array" ref="E52">_xlfn.IFS(D52&lt;0,"under",D52&gt;0.01,"over",AND(D52&lt;0.01,D52&gt;-0.01),"lige på")</f>
        <v>over</v>
      </c>
      <c r="F52">
        <f>_xlfn.XLOOKUP(A52,'2025'!B:B,'2025'!D:D)*1.031</f>
        <v>1628454.19</v>
      </c>
      <c r="G52">
        <f>_xlfn.XLOOKUP(A52,'2023-2025'!W:W,'2023-2025'!AE:AE)*1.031</f>
        <v>1626003.5029999998</v>
      </c>
      <c r="H52" s="21">
        <f t="shared" si="1"/>
        <v>-0.1504916143818667</v>
      </c>
      <c r="I52" s="21" t="str" cm="1">
        <f t="array" ref="I52">_xlfn.IFS(H52&lt;0,"under",H52&gt;0.01,"over",AND(H52&lt;0.01,H52&gt;-0.01),"lige på")</f>
        <v>under</v>
      </c>
      <c r="J52">
        <f>_xlfn.XLOOKUP(A52,'2026'!A:A,'2026'!P:P)</f>
        <v>1636999</v>
      </c>
      <c r="K52">
        <f>_xlfn.XLOOKUP(A52,'2026'!A:A,'2026'!G:G)</f>
        <v>1660530</v>
      </c>
      <c r="L52" s="21">
        <f t="shared" si="2"/>
        <v>1.4374474266630584</v>
      </c>
      <c r="M52" s="21" t="str" cm="1">
        <f t="array" ref="M52">_xlfn.IFS(L52&lt;-0.01,"under",L52&gt;0.01,"over",AND(L52&lt;0.01,L52&gt;-0.01),"lige på")</f>
        <v>over</v>
      </c>
      <c r="N52" t="str" cm="1">
        <f t="array" ref="N52">IFERROR(_xlfn.IFS(AND(E52="under",I52="under",M52="under"),"Under alle tre år",AND(E52="over",I52="over",M52="over"),"Over alle år"),"")</f>
        <v/>
      </c>
      <c r="O52" s="22">
        <f t="shared" si="3"/>
        <v>1.2417170383747367</v>
      </c>
      <c r="P52">
        <f>SUM(IF(D52&gt;0.01,1),IF(H52&gt;0.01,1),IF(L52&gt;0.01,1))</f>
        <v>2</v>
      </c>
      <c r="Q52">
        <f>SUM(IF(D52&lt;-0.01,1),IF(H52&lt;-0.01,1),IF(L52&lt;-0.01,1))</f>
        <v>1</v>
      </c>
      <c r="R52">
        <f>SUM(IF(E52="lige på",1,0),IF(I52="lige på",1,0),IF(M52="lige på",1,0))</f>
        <v>0</v>
      </c>
      <c r="S52">
        <f t="shared" si="4"/>
        <v>3</v>
      </c>
    </row>
    <row r="53" spans="1:19" x14ac:dyDescent="0.25">
      <c r="A53" t="s">
        <v>78</v>
      </c>
      <c r="B53" s="21">
        <f>_xlfn.XLOOKUP(A53,'2024'!B:B,'2024'!D:D)*1.06915938074864</f>
        <v>1137524.6390318503</v>
      </c>
      <c r="C53" s="21">
        <f>_xlfn.XLOOKUP(A53,'2023-2025'!D:D,'2023-2025'!T:T)*1.06915938074864</f>
        <v>1110226.861722576</v>
      </c>
      <c r="D53" s="21">
        <f t="shared" si="0"/>
        <v>-2.3997526183263602</v>
      </c>
      <c r="E53" s="21" t="str" cm="1">
        <f t="array" ref="E53">_xlfn.IFS(D53&lt;0,"under",D53&gt;0.01,"over",AND(D53&lt;0.01,D53&gt;-0.01),"lige på")</f>
        <v>under</v>
      </c>
      <c r="F53">
        <f>_xlfn.XLOOKUP(A53,'2025'!B:B,'2025'!D:D)*1.031</f>
        <v>1134328.882</v>
      </c>
      <c r="G53">
        <f>_xlfn.XLOOKUP(A53,'2023-2025'!W:W,'2023-2025'!AE:AE)*1.031</f>
        <v>1100563.632</v>
      </c>
      <c r="H53" s="21">
        <f t="shared" si="1"/>
        <v>-2.9766719807457038</v>
      </c>
      <c r="I53" s="21" t="str" cm="1">
        <f t="array" ref="I53">_xlfn.IFS(H53&lt;0,"under",H53&gt;0.01,"over",AND(H53&lt;0.01,H53&gt;-0.01),"lige på")</f>
        <v>under</v>
      </c>
      <c r="J53">
        <f>_xlfn.XLOOKUP(A53,'2026'!A:A,'2026'!P:P)</f>
        <v>1108505</v>
      </c>
      <c r="K53">
        <f>_xlfn.XLOOKUP(A53,'2026'!A:A,'2026'!G:G)</f>
        <v>1104047</v>
      </c>
      <c r="L53" s="21">
        <f t="shared" si="2"/>
        <v>-0.40216327395907098</v>
      </c>
      <c r="M53" s="21" t="str" cm="1">
        <f t="array" ref="M53">_xlfn.IFS(L53&lt;-0.01,"under",L53&gt;0.01,"over",AND(L53&lt;0.01,L53&gt;-0.01),"lige på")</f>
        <v>under</v>
      </c>
      <c r="N53" t="str" cm="1">
        <f t="array" ref="N53">IFERROR(_xlfn.IFS(AND(E53="under",I53="under",M53="under"),"Under alle tre år",AND(E53="over",I53="over",M53="over"),"Over alle år"),"")</f>
        <v>Under alle tre år</v>
      </c>
      <c r="O53" s="22">
        <f t="shared" si="3"/>
        <v>-1.9261959576770451</v>
      </c>
      <c r="P53">
        <f>SUM(IF(D53&gt;0.01,1),IF(H53&gt;0.01,1),IF(L53&gt;0.01,1))</f>
        <v>0</v>
      </c>
      <c r="Q53">
        <f>SUM(IF(D53&lt;-0.01,1),IF(H53&lt;-0.01,1),IF(L53&lt;-0.01,1))</f>
        <v>3</v>
      </c>
      <c r="R53">
        <f>SUM(IF(E53="lige på",1,0),IF(I53="lige på",1,0),IF(M53="lige på",1,0))</f>
        <v>0</v>
      </c>
      <c r="S53">
        <f t="shared" si="4"/>
        <v>3</v>
      </c>
    </row>
    <row r="54" spans="1:19" x14ac:dyDescent="0.25">
      <c r="A54" t="s">
        <v>48</v>
      </c>
      <c r="B54" s="21">
        <f>_xlfn.XLOOKUP(A54,'2024'!B:B,'2024'!D:D)*1.06915938074864</f>
        <v>2911292.1264752662</v>
      </c>
      <c r="C54" s="21">
        <f>_xlfn.XLOOKUP(A54,'2023-2025'!D:D,'2023-2025'!T:T)*1.06915938074864</f>
        <v>2916112.9661230617</v>
      </c>
      <c r="D54" s="21">
        <f t="shared" si="0"/>
        <v>0.16559106535393217</v>
      </c>
      <c r="E54" s="21" t="str" cm="1">
        <f t="array" ref="E54">_xlfn.IFS(D54&lt;0,"under",D54&gt;0.01,"over",AND(D54&lt;0.01,D54&gt;-0.01),"lige på")</f>
        <v>over</v>
      </c>
      <c r="F54">
        <f>_xlfn.XLOOKUP(A54,'2025'!B:B,'2025'!D:D)*1.031</f>
        <v>2977669.247</v>
      </c>
      <c r="G54">
        <f>_xlfn.XLOOKUP(A54,'2023-2025'!W:W,'2023-2025'!AE:AE)*1.031</f>
        <v>2939545.96</v>
      </c>
      <c r="H54" s="21">
        <f t="shared" si="1"/>
        <v>-1.280306301259255</v>
      </c>
      <c r="I54" s="21" t="str" cm="1">
        <f t="array" ref="I54">_xlfn.IFS(H54&lt;0,"under",H54&gt;0.01,"over",AND(H54&lt;0.01,H54&gt;-0.01),"lige på")</f>
        <v>under</v>
      </c>
      <c r="J54">
        <f>_xlfn.XLOOKUP(A54,'2026'!A:A,'2026'!P:P)</f>
        <v>2959204</v>
      </c>
      <c r="K54">
        <f>_xlfn.XLOOKUP(A54,'2026'!A:A,'2026'!G:G)</f>
        <v>2912731</v>
      </c>
      <c r="L54" s="21">
        <f t="shared" si="2"/>
        <v>-1.5704561091428642</v>
      </c>
      <c r="M54" s="21" t="str" cm="1">
        <f t="array" ref="M54">_xlfn.IFS(L54&lt;-0.01,"under",L54&gt;0.01,"over",AND(L54&lt;0.01,L54&gt;-0.01),"lige på")</f>
        <v>under</v>
      </c>
      <c r="N54" t="str" cm="1">
        <f t="array" ref="N54">IFERROR(_xlfn.IFS(AND(E54="under",I54="under",M54="under"),"Under alle tre år",AND(E54="over",I54="over",M54="over"),"Over alle år"),"")</f>
        <v/>
      </c>
      <c r="O54" s="22">
        <f t="shared" si="3"/>
        <v>-0.89505711501606233</v>
      </c>
      <c r="P54">
        <f>SUM(IF(D54&gt;0.01,1),IF(H54&gt;0.01,1),IF(L54&gt;0.01,1))</f>
        <v>1</v>
      </c>
      <c r="Q54">
        <f>SUM(IF(D54&lt;-0.01,1),IF(H54&lt;-0.01,1),IF(L54&lt;-0.01,1))</f>
        <v>2</v>
      </c>
      <c r="R54">
        <f>SUM(IF(E54="lige på",1,0),IF(I54="lige på",1,0),IF(M54="lige på",1,0))</f>
        <v>0</v>
      </c>
      <c r="S54">
        <f t="shared" si="4"/>
        <v>3</v>
      </c>
    </row>
    <row r="55" spans="1:19" x14ac:dyDescent="0.25">
      <c r="A55" t="s">
        <v>19</v>
      </c>
      <c r="B55" s="21">
        <f>_xlfn.XLOOKUP(A55,'2024'!B:B,'2024'!D:D)*1.06915938074864</f>
        <v>3414434.2544180532</v>
      </c>
      <c r="C55" s="21">
        <f>_xlfn.XLOOKUP(A55,'2023-2025'!D:D,'2023-2025'!T:T)*1.06915938074864</f>
        <v>3424306.872139886</v>
      </c>
      <c r="D55" s="21">
        <f t="shared" si="0"/>
        <v>0.28914358825501785</v>
      </c>
      <c r="E55" s="21" t="str" cm="1">
        <f t="array" ref="E55">_xlfn.IFS(D55&lt;0,"under",D55&gt;0.01,"over",AND(D55&lt;0.01,D55&gt;-0.01),"lige på")</f>
        <v>over</v>
      </c>
      <c r="F55">
        <f>_xlfn.XLOOKUP(A55,'2025'!B:B,'2025'!D:D)*1.031</f>
        <v>3492933.1479999996</v>
      </c>
      <c r="G55">
        <f>_xlfn.XLOOKUP(A55,'2023-2025'!W:W,'2023-2025'!AE:AE)*1.031</f>
        <v>3455684.1489999997</v>
      </c>
      <c r="H55" s="21">
        <f t="shared" si="1"/>
        <v>-1.0664103039397719</v>
      </c>
      <c r="I55" s="21" t="str" cm="1">
        <f t="array" ref="I55">_xlfn.IFS(H55&lt;0,"under",H55&gt;0.01,"over",AND(H55&lt;0.01,H55&gt;-0.01),"lige på")</f>
        <v>under</v>
      </c>
      <c r="J55">
        <f>_xlfn.XLOOKUP(A55,'2026'!A:A,'2026'!P:P)</f>
        <v>3476487</v>
      </c>
      <c r="K55">
        <f>_xlfn.XLOOKUP(A55,'2026'!A:A,'2026'!G:G)</f>
        <v>3476169</v>
      </c>
      <c r="L55" s="21">
        <f t="shared" si="2"/>
        <v>-9.1471649397797256E-3</v>
      </c>
      <c r="M55" s="21" t="str" cm="1">
        <f t="array" ref="M55">_xlfn.IFS(L55&lt;-0.01,"under",L55&gt;0.01,"over",AND(L55&lt;0.01,L55&gt;-0.01),"lige på")</f>
        <v>lige på</v>
      </c>
      <c r="N55" t="str" cm="1">
        <f t="array" ref="N55">IFERROR(_xlfn.IFS(AND(E55="under",I55="under",M55="under"),"Under alle tre år",AND(E55="over",I55="over",M55="over"),"Over alle år"),"")</f>
        <v/>
      </c>
      <c r="O55" s="22">
        <f t="shared" si="3"/>
        <v>-0.26213796020817787</v>
      </c>
      <c r="P55">
        <f>SUM(IF(D55&gt;0.01,1),IF(H55&gt;0.01,1),IF(L55&gt;0.01,1))</f>
        <v>1</v>
      </c>
      <c r="Q55">
        <f>SUM(IF(D55&lt;-0.01,1),IF(H55&lt;-0.01,1),IF(L55&lt;-0.01,1))</f>
        <v>1</v>
      </c>
      <c r="R55">
        <f>SUM(IF(E55="lige på",1,0),IF(I55="lige på",1,0),IF(M55="lige på",1,0))</f>
        <v>1</v>
      </c>
      <c r="S55">
        <f t="shared" si="4"/>
        <v>3</v>
      </c>
    </row>
    <row r="56" spans="1:19" x14ac:dyDescent="0.25">
      <c r="A56" t="s">
        <v>99</v>
      </c>
      <c r="B56" s="21">
        <f>_xlfn.XLOOKUP(A56,'2024'!B:B,'2024'!D:D)*1.06915938074864</f>
        <v>169166.67385957279</v>
      </c>
      <c r="C56" s="21">
        <f>_xlfn.XLOOKUP(A56,'2023-2025'!D:D,'2023-2025'!T:T)*1.06915938074864</f>
        <v>165781.71526012261</v>
      </c>
      <c r="D56" s="21">
        <f t="shared" si="0"/>
        <v>-2.0009606633633266</v>
      </c>
      <c r="E56" s="21" t="str" cm="1">
        <f t="array" ref="E56">_xlfn.IFS(D56&lt;0,"under",D56&gt;0.01,"over",AND(D56&lt;0.01,D56&gt;-0.01),"lige på")</f>
        <v>under</v>
      </c>
      <c r="F56">
        <f>_xlfn.XLOOKUP(A56,'2025'!B:B,'2025'!D:D)*1.031</f>
        <v>168547.87999999998</v>
      </c>
      <c r="G56">
        <f>_xlfn.XLOOKUP(A56,'2023-2025'!W:W,'2023-2025'!AE:AE)*1.031</f>
        <v>173003.86199999999</v>
      </c>
      <c r="H56" s="21">
        <f t="shared" si="1"/>
        <v>2.6437484707609604</v>
      </c>
      <c r="I56" s="21" t="str" cm="1">
        <f t="array" ref="I56">_xlfn.IFS(H56&lt;0,"under",H56&gt;0.01,"over",AND(H56&lt;0.01,H56&gt;-0.01),"lige på")</f>
        <v>over</v>
      </c>
      <c r="J56">
        <f>_xlfn.XLOOKUP(A56,'2026'!A:A,'2026'!P:P)</f>
        <v>173637</v>
      </c>
      <c r="K56">
        <f>_xlfn.XLOOKUP(A56,'2026'!A:A,'2026'!G:G)</f>
        <v>171821</v>
      </c>
      <c r="L56" s="21">
        <f t="shared" si="2"/>
        <v>-1.0458600413506338</v>
      </c>
      <c r="M56" s="21" t="str" cm="1">
        <f t="array" ref="M56">_xlfn.IFS(L56&lt;-0.01,"under",L56&gt;0.01,"over",AND(L56&lt;0.01,L56&gt;-0.01),"lige på")</f>
        <v>under</v>
      </c>
      <c r="N56" t="str" cm="1">
        <f t="array" ref="N56">IFERROR(_xlfn.IFS(AND(E56="under",I56="under",M56="under"),"Under alle tre år",AND(E56="over",I56="over",M56="over"),"Over alle år"),"")</f>
        <v/>
      </c>
      <c r="O56" s="22">
        <f t="shared" si="3"/>
        <v>-0.13435741131766665</v>
      </c>
      <c r="P56">
        <f>SUM(IF(D56&gt;0.01,1),IF(H56&gt;0.01,1),IF(L56&gt;0.01,1))</f>
        <v>1</v>
      </c>
      <c r="Q56">
        <f>SUM(IF(D56&lt;-0.01,1),IF(H56&lt;-0.01,1),IF(L56&lt;-0.01,1))</f>
        <v>2</v>
      </c>
      <c r="R56">
        <f>SUM(IF(E56="lige på",1,0),IF(I56="lige på",1,0),IF(M56="lige på",1,0))</f>
        <v>0</v>
      </c>
      <c r="S56">
        <f t="shared" si="4"/>
        <v>3</v>
      </c>
    </row>
    <row r="57" spans="1:19" x14ac:dyDescent="0.25">
      <c r="A57" t="s">
        <v>101</v>
      </c>
      <c r="B57" s="21">
        <f>_xlfn.XLOOKUP(A57,'2024'!B:B,'2024'!D:D)*1.06915938074864</f>
        <v>2315288.1605175561</v>
      </c>
      <c r="C57" s="21">
        <f>_xlfn.XLOOKUP(A57,'2023-2025'!D:D,'2023-2025'!T:T)*1.06915938074864</f>
        <v>2339872.4113184903</v>
      </c>
      <c r="D57" s="21">
        <f t="shared" si="0"/>
        <v>1.061822507460092</v>
      </c>
      <c r="E57" s="21" t="str" cm="1">
        <f t="array" ref="E57">_xlfn.IFS(D57&lt;0,"under",D57&gt;0.01,"over",AND(D57&lt;0.01,D57&gt;-0.01),"lige på")</f>
        <v>over</v>
      </c>
      <c r="F57">
        <f>_xlfn.XLOOKUP(A57,'2025'!B:B,'2025'!D:D)*1.031</f>
        <v>2391579.77</v>
      </c>
      <c r="G57">
        <f>_xlfn.XLOOKUP(A57,'2023-2025'!W:W,'2023-2025'!AE:AE)*1.031</f>
        <v>2375402.3489999999</v>
      </c>
      <c r="H57" s="21">
        <f t="shared" si="1"/>
        <v>-0.67643242357749533</v>
      </c>
      <c r="I57" s="21" t="str" cm="1">
        <f t="array" ref="I57">_xlfn.IFS(H57&lt;0,"under",H57&gt;0.01,"over",AND(H57&lt;0.01,H57&gt;-0.01),"lige på")</f>
        <v>under</v>
      </c>
      <c r="J57">
        <f>_xlfn.XLOOKUP(A57,'2026'!A:A,'2026'!P:P)</f>
        <v>2392798</v>
      </c>
      <c r="K57">
        <f>_xlfn.XLOOKUP(A57,'2026'!A:A,'2026'!G:G)</f>
        <v>2374434</v>
      </c>
      <c r="L57" s="21">
        <f t="shared" si="2"/>
        <v>-0.76746971537087538</v>
      </c>
      <c r="M57" s="21" t="str" cm="1">
        <f t="array" ref="M57">_xlfn.IFS(L57&lt;-0.01,"under",L57&gt;0.01,"over",AND(L57&lt;0.01,L57&gt;-0.01),"lige på")</f>
        <v>under</v>
      </c>
      <c r="N57" t="str" cm="1">
        <f t="array" ref="N57">IFERROR(_xlfn.IFS(AND(E57="under",I57="under",M57="under"),"Under alle tre år",AND(E57="over",I57="over",M57="over"),"Over alle år"),"")</f>
        <v/>
      </c>
      <c r="O57" s="22">
        <f t="shared" si="3"/>
        <v>-0.12735987716275954</v>
      </c>
      <c r="P57">
        <f>SUM(IF(D57&gt;0.01,1),IF(H57&gt;0.01,1),IF(L57&gt;0.01,1))</f>
        <v>1</v>
      </c>
      <c r="Q57">
        <f>SUM(IF(D57&lt;-0.01,1),IF(H57&lt;-0.01,1),IF(L57&lt;-0.01,1))</f>
        <v>2</v>
      </c>
      <c r="R57">
        <f>SUM(IF(E57="lige på",1,0),IF(I57="lige på",1,0),IF(M57="lige på",1,0))</f>
        <v>0</v>
      </c>
      <c r="S57">
        <f t="shared" si="4"/>
        <v>3</v>
      </c>
    </row>
    <row r="58" spans="1:19" x14ac:dyDescent="0.25">
      <c r="A58" t="s">
        <v>53</v>
      </c>
      <c r="B58" s="21">
        <f>_xlfn.XLOOKUP(A58,'2024'!B:B,'2024'!D:D)*1.06915938074864</f>
        <v>2042315.7332217172</v>
      </c>
      <c r="C58" s="21">
        <f>_xlfn.XLOOKUP(A58,'2023-2025'!D:D,'2023-2025'!T:T)*1.06915938074864</f>
        <v>2085610.2731857526</v>
      </c>
      <c r="D58" s="21">
        <f t="shared" si="0"/>
        <v>2.1198749664303378</v>
      </c>
      <c r="E58" s="21" t="str" cm="1">
        <f t="array" ref="E58">_xlfn.IFS(D58&lt;0,"under",D58&gt;0.01,"over",AND(D58&lt;0.01,D58&gt;-0.01),"lige på")</f>
        <v>over</v>
      </c>
      <c r="F58">
        <f>_xlfn.XLOOKUP(A58,'2025'!B:B,'2025'!D:D)*1.031</f>
        <v>2132529.679</v>
      </c>
      <c r="G58">
        <f>_xlfn.XLOOKUP(A58,'2023-2025'!W:W,'2023-2025'!AE:AE)*1.031</f>
        <v>2157996.4099999997</v>
      </c>
      <c r="H58" s="21">
        <f t="shared" si="1"/>
        <v>1.1942028873399646</v>
      </c>
      <c r="I58" s="21" t="str" cm="1">
        <f t="array" ref="I58">_xlfn.IFS(H58&lt;0,"under",H58&gt;0.01,"over",AND(H58&lt;0.01,H58&gt;-0.01),"lige på")</f>
        <v>over</v>
      </c>
      <c r="J58">
        <f>_xlfn.XLOOKUP(A58,'2026'!A:A,'2026'!P:P)</f>
        <v>2173968</v>
      </c>
      <c r="K58">
        <f>_xlfn.XLOOKUP(A58,'2026'!A:A,'2026'!G:G)</f>
        <v>2173431</v>
      </c>
      <c r="L58" s="21">
        <f t="shared" si="2"/>
        <v>-2.4701375549226117E-2</v>
      </c>
      <c r="M58" s="21" t="str" cm="1">
        <f t="array" ref="M58">_xlfn.IFS(L58&lt;-0.01,"under",L58&gt;0.01,"over",AND(L58&lt;0.01,L58&gt;-0.01),"lige på")</f>
        <v>under</v>
      </c>
      <c r="N58" t="str" cm="1">
        <f t="array" ref="N58">IFERROR(_xlfn.IFS(AND(E58="under",I58="under",M58="under"),"Under alle tre år",AND(E58="over",I58="over",M58="over"),"Over alle år"),"")</f>
        <v/>
      </c>
      <c r="O58" s="22">
        <f t="shared" si="3"/>
        <v>1.096458826073692</v>
      </c>
      <c r="P58">
        <f>SUM(IF(D58&gt;0.01,1),IF(H58&gt;0.01,1),IF(L58&gt;0.01,1))</f>
        <v>2</v>
      </c>
      <c r="Q58">
        <f>SUM(IF(D58&lt;-0.01,1),IF(H58&lt;-0.01,1),IF(L58&lt;-0.01,1))</f>
        <v>1</v>
      </c>
      <c r="R58">
        <f>SUM(IF(E58="lige på",1,0),IF(I58="lige på",1,0),IF(M58="lige på",1,0))</f>
        <v>0</v>
      </c>
      <c r="S58">
        <f t="shared" si="4"/>
        <v>3</v>
      </c>
    </row>
    <row r="59" spans="1:19" x14ac:dyDescent="0.25">
      <c r="A59" t="s">
        <v>92</v>
      </c>
      <c r="B59" s="21">
        <f>_xlfn.XLOOKUP(A59,'2024'!B:B,'2024'!D:D)*1.06915938074864</f>
        <v>1222562.3686984547</v>
      </c>
      <c r="C59" s="21">
        <f>_xlfn.XLOOKUP(A59,'2023-2025'!D:D,'2023-2025'!T:T)*1.06915938074864</f>
        <v>1227107.3652260173</v>
      </c>
      <c r="D59" s="21">
        <f t="shared" si="0"/>
        <v>0.37175989085949368</v>
      </c>
      <c r="E59" s="21" t="str" cm="1">
        <f t="array" ref="E59">_xlfn.IFS(D59&lt;0,"under",D59&gt;0.01,"over",AND(D59&lt;0.01,D59&gt;-0.01),"lige på")</f>
        <v>over</v>
      </c>
      <c r="F59">
        <f>_xlfn.XLOOKUP(A59,'2025'!B:B,'2025'!D:D)*1.031</f>
        <v>1253392.8859999999</v>
      </c>
      <c r="G59">
        <f>_xlfn.XLOOKUP(A59,'2023-2025'!W:W,'2023-2025'!AE:AE)*1.031</f>
        <v>1247169.7699999998</v>
      </c>
      <c r="H59" s="21">
        <f t="shared" si="1"/>
        <v>-0.4965016212801574</v>
      </c>
      <c r="I59" s="21" t="str" cm="1">
        <f t="array" ref="I59">_xlfn.IFS(H59&lt;0,"under",H59&gt;0.01,"over",AND(H59&lt;0.01,H59&gt;-0.01),"lige på")</f>
        <v>under</v>
      </c>
      <c r="J59">
        <f>_xlfn.XLOOKUP(A59,'2026'!A:A,'2026'!P:P)</f>
        <v>1255707</v>
      </c>
      <c r="K59">
        <f>_xlfn.XLOOKUP(A59,'2026'!A:A,'2026'!G:G)</f>
        <v>1239279</v>
      </c>
      <c r="L59" s="21">
        <f t="shared" si="2"/>
        <v>-1.3082669762930366</v>
      </c>
      <c r="M59" s="21" t="str" cm="1">
        <f t="array" ref="M59">_xlfn.IFS(L59&lt;-0.01,"under",L59&gt;0.01,"over",AND(L59&lt;0.01,L59&gt;-0.01),"lige på")</f>
        <v>under</v>
      </c>
      <c r="N59" t="str" cm="1">
        <f t="array" ref="N59">IFERROR(_xlfn.IFS(AND(E59="under",I59="under",M59="under"),"Under alle tre år",AND(E59="over",I59="over",M59="over"),"Over alle år"),"")</f>
        <v/>
      </c>
      <c r="O59" s="22">
        <f t="shared" si="3"/>
        <v>-0.47766956890456674</v>
      </c>
      <c r="P59">
        <f>SUM(IF(D59&gt;0.01,1),IF(H59&gt;0.01,1),IF(L59&gt;0.01,1))</f>
        <v>1</v>
      </c>
      <c r="Q59">
        <f>SUM(IF(D59&lt;-0.01,1),IF(H59&lt;-0.01,1),IF(L59&lt;-0.01,1))</f>
        <v>2</v>
      </c>
      <c r="R59">
        <f>SUM(IF(E59="lige på",1,0),IF(I59="lige på",1,0),IF(M59="lige på",1,0))</f>
        <v>0</v>
      </c>
      <c r="S59">
        <f t="shared" si="4"/>
        <v>3</v>
      </c>
    </row>
    <row r="60" spans="1:19" x14ac:dyDescent="0.25">
      <c r="A60" t="s">
        <v>81</v>
      </c>
      <c r="B60" s="21">
        <f>_xlfn.XLOOKUP(A60,'2024'!B:B,'2024'!D:D)*1.06915938074864</f>
        <v>2169494.3798805294</v>
      </c>
      <c r="C60" s="21">
        <f>_xlfn.XLOOKUP(A60,'2023-2025'!D:D,'2023-2025'!T:T)*1.06915938074864</f>
        <v>2174530.1205638554</v>
      </c>
      <c r="D60" s="21">
        <f t="shared" si="0"/>
        <v>0.23211586672113627</v>
      </c>
      <c r="E60" s="21" t="str" cm="1">
        <f t="array" ref="E60">_xlfn.IFS(D60&lt;0,"under",D60&gt;0.01,"over",AND(D60&lt;0.01,D60&gt;-0.01),"lige på")</f>
        <v>over</v>
      </c>
      <c r="F60">
        <f>_xlfn.XLOOKUP(A60,'2025'!B:B,'2025'!D:D)*1.031</f>
        <v>2222748.3649999998</v>
      </c>
      <c r="G60">
        <f>_xlfn.XLOOKUP(A60,'2023-2025'!W:W,'2023-2025'!AE:AE)*1.031</f>
        <v>2224472.1969999997</v>
      </c>
      <c r="H60" s="21">
        <f t="shared" si="1"/>
        <v>7.7554077966892884E-2</v>
      </c>
      <c r="I60" s="21" t="str" cm="1">
        <f t="array" ref="I60">_xlfn.IFS(H60&lt;0,"under",H60&gt;0.01,"over",AND(H60&lt;0.01,H60&gt;-0.01),"lige på")</f>
        <v>over</v>
      </c>
      <c r="J60">
        <f>_xlfn.XLOOKUP(A60,'2026'!A:A,'2026'!P:P)</f>
        <v>2240559</v>
      </c>
      <c r="K60">
        <f>_xlfn.XLOOKUP(A60,'2026'!A:A,'2026'!G:G)</f>
        <v>2222690</v>
      </c>
      <c r="L60" s="21">
        <f t="shared" si="2"/>
        <v>-0.79752418927597979</v>
      </c>
      <c r="M60" s="21" t="str" cm="1">
        <f t="array" ref="M60">_xlfn.IFS(L60&lt;-0.01,"under",L60&gt;0.01,"over",AND(L60&lt;0.01,L60&gt;-0.01),"lige på")</f>
        <v>under</v>
      </c>
      <c r="N60" t="str" cm="1">
        <f t="array" ref="N60">IFERROR(_xlfn.IFS(AND(E60="under",I60="under",M60="under"),"Under alle tre år",AND(E60="over",I60="over",M60="over"),"Over alle år"),"")</f>
        <v/>
      </c>
      <c r="O60" s="22">
        <f t="shared" si="3"/>
        <v>-0.16261808152931689</v>
      </c>
      <c r="P60">
        <f>SUM(IF(D60&gt;0.01,1),IF(H60&gt;0.01,1),IF(L60&gt;0.01,1))</f>
        <v>2</v>
      </c>
      <c r="Q60">
        <f>SUM(IF(D60&lt;-0.01,1),IF(H60&lt;-0.01,1),IF(L60&lt;-0.01,1))</f>
        <v>1</v>
      </c>
      <c r="R60">
        <f>SUM(IF(E60="lige på",1,0),IF(I60="lige på",1,0),IF(M60="lige på",1,0))</f>
        <v>0</v>
      </c>
      <c r="S60">
        <f t="shared" si="4"/>
        <v>3</v>
      </c>
    </row>
    <row r="61" spans="1:19" x14ac:dyDescent="0.25">
      <c r="A61" t="s">
        <v>60</v>
      </c>
      <c r="B61" s="21">
        <f>_xlfn.XLOOKUP(A61,'2024'!B:B,'2024'!D:D)*1.06915938074864</f>
        <v>1652169.8527521119</v>
      </c>
      <c r="C61" s="21">
        <f>_xlfn.XLOOKUP(A61,'2023-2025'!D:D,'2023-2025'!T:T)*1.06915938074864</f>
        <v>1654799.9848287534</v>
      </c>
      <c r="D61" s="21">
        <f t="shared" si="0"/>
        <v>0.15919259586176243</v>
      </c>
      <c r="E61" s="21" t="str" cm="1">
        <f t="array" ref="E61">_xlfn.IFS(D61&lt;0,"under",D61&gt;0.01,"over",AND(D61&lt;0.01,D61&gt;-0.01),"lige på")</f>
        <v>over</v>
      </c>
      <c r="F61">
        <f>_xlfn.XLOOKUP(A61,'2025'!B:B,'2025'!D:D)*1.031</f>
        <v>1691481.2819999999</v>
      </c>
      <c r="G61">
        <f>_xlfn.XLOOKUP(A61,'2023-2025'!W:W,'2023-2025'!AE:AE)*1.031</f>
        <v>1701367.541</v>
      </c>
      <c r="H61" s="21">
        <f t="shared" si="1"/>
        <v>0.58447344970383652</v>
      </c>
      <c r="I61" s="21" t="str" cm="1">
        <f t="array" ref="I61">_xlfn.IFS(H61&lt;0,"under",H61&gt;0.01,"over",AND(H61&lt;0.01,H61&gt;-0.01),"lige på")</f>
        <v>over</v>
      </c>
      <c r="J61">
        <f>_xlfn.XLOOKUP(A61,'2026'!A:A,'2026'!P:P)</f>
        <v>1713807</v>
      </c>
      <c r="K61">
        <f>_xlfn.XLOOKUP(A61,'2026'!A:A,'2026'!G:G)</f>
        <v>1708087</v>
      </c>
      <c r="L61" s="21">
        <f t="shared" si="2"/>
        <v>-0.33375986911011568</v>
      </c>
      <c r="M61" s="21" t="str" cm="1">
        <f t="array" ref="M61">_xlfn.IFS(L61&lt;-0.01,"under",L61&gt;0.01,"over",AND(L61&lt;0.01,L61&gt;-0.01),"lige på")</f>
        <v>under</v>
      </c>
      <c r="N61" t="str" cm="1">
        <f t="array" ref="N61">IFERROR(_xlfn.IFS(AND(E61="under",I61="under",M61="under"),"Under alle tre år",AND(E61="over",I61="over",M61="over"),"Over alle år"),"")</f>
        <v/>
      </c>
      <c r="O61" s="22">
        <f t="shared" si="3"/>
        <v>0.13663539215182777</v>
      </c>
      <c r="P61">
        <f>SUM(IF(D61&gt;0.01,1),IF(H61&gt;0.01,1),IF(L61&gt;0.01,1))</f>
        <v>2</v>
      </c>
      <c r="Q61">
        <f>SUM(IF(D61&lt;-0.01,1),IF(H61&lt;-0.01,1),IF(L61&lt;-0.01,1))</f>
        <v>1</v>
      </c>
      <c r="R61">
        <f>SUM(IF(E61="lige på",1,0),IF(I61="lige på",1,0),IF(M61="lige på",1,0))</f>
        <v>0</v>
      </c>
      <c r="S61">
        <f t="shared" si="4"/>
        <v>3</v>
      </c>
    </row>
    <row r="62" spans="1:19" x14ac:dyDescent="0.25">
      <c r="A62" t="s">
        <v>57</v>
      </c>
      <c r="B62" s="21">
        <f>_xlfn.XLOOKUP(A62,'2024'!B:B,'2024'!D:D)*1.06915938074864</f>
        <v>1859985.5690663671</v>
      </c>
      <c r="C62" s="21">
        <f>_xlfn.XLOOKUP(A62,'2023-2025'!D:D,'2023-2025'!T:T)*1.06915938074864</f>
        <v>1863983.1559909864</v>
      </c>
      <c r="D62" s="21">
        <f t="shared" si="0"/>
        <v>0.21492569572063355</v>
      </c>
      <c r="E62" s="21" t="str" cm="1">
        <f t="array" ref="E62">_xlfn.IFS(D62&lt;0,"under",D62&gt;0.01,"over",AND(D62&lt;0.01,D62&gt;-0.01),"lige på")</f>
        <v>over</v>
      </c>
      <c r="F62">
        <f>_xlfn.XLOOKUP(A62,'2025'!B:B,'2025'!D:D)*1.031</f>
        <v>1905124.0709999998</v>
      </c>
      <c r="G62">
        <f>_xlfn.XLOOKUP(A62,'2023-2025'!W:W,'2023-2025'!AE:AE)*1.031</f>
        <v>1893879.9849999999</v>
      </c>
      <c r="H62" s="21">
        <f t="shared" si="1"/>
        <v>-0.59020229554382098</v>
      </c>
      <c r="I62" s="21" t="str" cm="1">
        <f t="array" ref="I62">_xlfn.IFS(H62&lt;0,"under",H62&gt;0.01,"over",AND(H62&lt;0.01,H62&gt;-0.01),"lige på")</f>
        <v>under</v>
      </c>
      <c r="J62">
        <f>_xlfn.XLOOKUP(A62,'2026'!A:A,'2026'!P:P)</f>
        <v>1907748</v>
      </c>
      <c r="K62">
        <f>_xlfn.XLOOKUP(A62,'2026'!A:A,'2026'!G:G)</f>
        <v>1896830</v>
      </c>
      <c r="L62" s="21">
        <f t="shared" si="2"/>
        <v>-0.57229780872526137</v>
      </c>
      <c r="M62" s="21" t="str" cm="1">
        <f t="array" ref="M62">_xlfn.IFS(L62&lt;-0.01,"under",L62&gt;0.01,"over",AND(L62&lt;0.01,L62&gt;-0.01),"lige på")</f>
        <v>under</v>
      </c>
      <c r="N62" t="str" cm="1">
        <f t="array" ref="N62">IFERROR(_xlfn.IFS(AND(E62="under",I62="under",M62="under"),"Under alle tre år",AND(E62="over",I62="over",M62="over"),"Over alle år"),"")</f>
        <v/>
      </c>
      <c r="O62" s="22">
        <f t="shared" si="3"/>
        <v>-0.31585813618281627</v>
      </c>
      <c r="P62">
        <f>SUM(IF(D62&gt;0.01,1),IF(H62&gt;0.01,1),IF(L62&gt;0.01,1))</f>
        <v>1</v>
      </c>
      <c r="Q62">
        <f>SUM(IF(D62&lt;-0.01,1),IF(H62&lt;-0.01,1),IF(L62&lt;-0.01,1))</f>
        <v>2</v>
      </c>
      <c r="R62">
        <f>SUM(IF(E62="lige på",1,0),IF(I62="lige på",1,0),IF(M62="lige på",1,0))</f>
        <v>0</v>
      </c>
      <c r="S62">
        <f t="shared" si="4"/>
        <v>3</v>
      </c>
    </row>
    <row r="63" spans="1:19" x14ac:dyDescent="0.25">
      <c r="A63" t="s">
        <v>49</v>
      </c>
      <c r="B63" s="21">
        <f>_xlfn.XLOOKUP(A63,'2024'!B:B,'2024'!D:D)*1.06915938074864</f>
        <v>4432034.4931894708</v>
      </c>
      <c r="C63" s="21">
        <f>_xlfn.XLOOKUP(A63,'2023-2025'!D:D,'2023-2025'!T:T)*1.06915938074864</f>
        <v>4473389.578036828</v>
      </c>
      <c r="D63" s="21">
        <f t="shared" si="0"/>
        <v>0.93309483287880124</v>
      </c>
      <c r="E63" s="21" t="str" cm="1">
        <f t="array" ref="E63">_xlfn.IFS(D63&lt;0,"under",D63&gt;0.01,"over",AND(D63&lt;0.01,D63&gt;-0.01),"lige på")</f>
        <v>over</v>
      </c>
      <c r="F63">
        <f>_xlfn.XLOOKUP(A63,'2025'!B:B,'2025'!D:D)*1.031</f>
        <v>4576853.3470000001</v>
      </c>
      <c r="G63">
        <f>_xlfn.XLOOKUP(A63,'2023-2025'!W:W,'2023-2025'!AE:AE)*1.031</f>
        <v>4596470.1839999994</v>
      </c>
      <c r="H63" s="21">
        <f t="shared" si="1"/>
        <v>0.4286096912599931</v>
      </c>
      <c r="I63" s="21" t="str" cm="1">
        <f t="array" ref="I63">_xlfn.IFS(H63&lt;0,"under",H63&gt;0.01,"over",AND(H63&lt;0.01,H63&gt;-0.01),"lige på")</f>
        <v>over</v>
      </c>
      <c r="J63">
        <f>_xlfn.XLOOKUP(A63,'2026'!A:A,'2026'!P:P)</f>
        <v>4632766</v>
      </c>
      <c r="K63">
        <f>_xlfn.XLOOKUP(A63,'2026'!A:A,'2026'!G:G)</f>
        <v>4643245</v>
      </c>
      <c r="L63" s="21">
        <f t="shared" si="2"/>
        <v>0.22619316408383242</v>
      </c>
      <c r="M63" s="21" t="str" cm="1">
        <f t="array" ref="M63">_xlfn.IFS(L63&lt;-0.01,"under",L63&gt;0.01,"over",AND(L63&lt;0.01,L63&gt;-0.01),"lige på")</f>
        <v>over</v>
      </c>
      <c r="N63" t="str" cm="1">
        <f t="array" ref="N63">IFERROR(_xlfn.IFS(AND(E63="under",I63="under",M63="under"),"Under alle tre år",AND(E63="over",I63="over",M63="over"),"Over alle år"),"")</f>
        <v>Over alle år</v>
      </c>
      <c r="O63" s="22">
        <f t="shared" si="3"/>
        <v>0.52929922940754226</v>
      </c>
      <c r="P63">
        <f>SUM(IF(D63&gt;0.01,1),IF(H63&gt;0.01,1),IF(L63&gt;0.01,1))</f>
        <v>3</v>
      </c>
      <c r="Q63">
        <f>SUM(IF(D63&lt;-0.01,1),IF(H63&lt;-0.01,1),IF(L63&lt;-0.01,1))</f>
        <v>0</v>
      </c>
      <c r="R63">
        <f>SUM(IF(E63="lige på",1,0),IF(I63="lige på",1,0),IF(M63="lige på",1,0))</f>
        <v>0</v>
      </c>
      <c r="S63">
        <f t="shared" si="4"/>
        <v>3</v>
      </c>
    </row>
    <row r="64" spans="1:19" x14ac:dyDescent="0.25">
      <c r="A64" t="s">
        <v>83</v>
      </c>
      <c r="B64" s="21">
        <f>_xlfn.XLOOKUP(A64,'2024'!B:B,'2024'!D:D)*1.06915938074864</f>
        <v>1220119.3395134441</v>
      </c>
      <c r="C64" s="21">
        <f>_xlfn.XLOOKUP(A64,'2023-2025'!D:D,'2023-2025'!T:T)*1.06915938074864</f>
        <v>1213995.1945805158</v>
      </c>
      <c r="D64" s="21">
        <f t="shared" si="0"/>
        <v>-0.50192999443566166</v>
      </c>
      <c r="E64" s="21" t="str" cm="1">
        <f t="array" ref="E64">_xlfn.IFS(D64&lt;0,"under",D64&gt;0.01,"over",AND(D64&lt;0.01,D64&gt;-0.01),"lige på")</f>
        <v>under</v>
      </c>
      <c r="F64">
        <f>_xlfn.XLOOKUP(A64,'2025'!B:B,'2025'!D:D)*1.031</f>
        <v>1241546.696</v>
      </c>
      <c r="G64">
        <f>_xlfn.XLOOKUP(A64,'2023-2025'!W:W,'2023-2025'!AE:AE)*1.031</f>
        <v>1261506.8559999999</v>
      </c>
      <c r="H64" s="21">
        <f t="shared" si="1"/>
        <v>1.6076850000332099</v>
      </c>
      <c r="I64" s="21" t="str" cm="1">
        <f t="array" ref="I64">_xlfn.IFS(H64&lt;0,"under",H64&gt;0.01,"over",AND(H64&lt;0.01,H64&gt;-0.01),"lige på")</f>
        <v>over</v>
      </c>
      <c r="J64">
        <f>_xlfn.XLOOKUP(A64,'2026'!A:A,'2026'!P:P)</f>
        <v>1271145</v>
      </c>
      <c r="K64">
        <f>_xlfn.XLOOKUP(A64,'2026'!A:A,'2026'!G:G)</f>
        <v>1275787</v>
      </c>
      <c r="L64" s="21">
        <f t="shared" si="2"/>
        <v>0.36518257161850143</v>
      </c>
      <c r="M64" s="21" t="str" cm="1">
        <f t="array" ref="M64">_xlfn.IFS(L64&lt;-0.01,"under",L64&gt;0.01,"over",AND(L64&lt;0.01,L64&gt;-0.01),"lige på")</f>
        <v>over</v>
      </c>
      <c r="N64" t="str" cm="1">
        <f t="array" ref="N64">IFERROR(_xlfn.IFS(AND(E64="under",I64="under",M64="under"),"Under alle tre år",AND(E64="over",I64="over",M64="over"),"Over alle år"),"")</f>
        <v/>
      </c>
      <c r="O64" s="22">
        <f t="shared" si="3"/>
        <v>0.49031252573868317</v>
      </c>
      <c r="P64">
        <f>SUM(IF(D64&gt;0.01,1),IF(H64&gt;0.01,1),IF(L64&gt;0.01,1))</f>
        <v>2</v>
      </c>
      <c r="Q64">
        <f>SUM(IF(D64&lt;-0.01,1),IF(H64&lt;-0.01,1),IF(L64&lt;-0.01,1))</f>
        <v>1</v>
      </c>
      <c r="R64">
        <f>SUM(IF(E64="lige på",1,0),IF(I64="lige på",1,0),IF(M64="lige på",1,0))</f>
        <v>0</v>
      </c>
      <c r="S64">
        <f t="shared" si="4"/>
        <v>3</v>
      </c>
    </row>
    <row r="65" spans="1:19" x14ac:dyDescent="0.25">
      <c r="A65" t="s">
        <v>58</v>
      </c>
      <c r="B65" s="21">
        <f>_xlfn.XLOOKUP(A65,'2024'!B:B,'2024'!D:D)*1.06915938074864</f>
        <v>10507083.627353702</v>
      </c>
      <c r="C65" s="21">
        <f>_xlfn.XLOOKUP(A65,'2023-2025'!D:D,'2023-2025'!T:T)*1.06915938074864</f>
        <v>10486854.062710557</v>
      </c>
      <c r="D65" s="21">
        <f t="shared" si="0"/>
        <v>-0.19253263189492284</v>
      </c>
      <c r="E65" s="21" t="str" cm="1">
        <f t="array" ref="E65">_xlfn.IFS(D65&lt;0,"under",D65&gt;0.01,"over",AND(D65&lt;0.01,D65&gt;-0.01),"lige på")</f>
        <v>under</v>
      </c>
      <c r="F65">
        <f>_xlfn.XLOOKUP(A65,'2025'!B:B,'2025'!D:D)*1.031</f>
        <v>10734419.398</v>
      </c>
      <c r="G65">
        <f>_xlfn.XLOOKUP(A65,'2023-2025'!W:W,'2023-2025'!AE:AE)*1.031</f>
        <v>10749097.744999999</v>
      </c>
      <c r="H65" s="21">
        <f t="shared" si="1"/>
        <v>0.13674094942418549</v>
      </c>
      <c r="I65" s="21" t="str" cm="1">
        <f t="array" ref="I65">_xlfn.IFS(H65&lt;0,"under",H65&gt;0.01,"over",AND(H65&lt;0.01,H65&gt;-0.01),"lige på")</f>
        <v>over</v>
      </c>
      <c r="J65">
        <f>_xlfn.XLOOKUP(A65,'2026'!A:A,'2026'!P:P)</f>
        <v>10837864</v>
      </c>
      <c r="K65">
        <f>_xlfn.XLOOKUP(A65,'2026'!A:A,'2026'!G:G)</f>
        <v>10837812</v>
      </c>
      <c r="L65" s="21">
        <f t="shared" si="2"/>
        <v>-4.7979934053426029E-4</v>
      </c>
      <c r="M65" s="21" t="str" cm="1">
        <f t="array" ref="M65">_xlfn.IFS(L65&lt;-0.01,"under",L65&gt;0.01,"over",AND(L65&lt;0.01,L65&gt;-0.01),"lige på")</f>
        <v>lige på</v>
      </c>
      <c r="N65" t="str" cm="1">
        <f t="array" ref="N65">IFERROR(_xlfn.IFS(AND(E65="under",I65="under",M65="under"),"Under alle tre år",AND(E65="over",I65="over",M65="over"),"Over alle år"),"")</f>
        <v/>
      </c>
      <c r="O65" s="22">
        <f t="shared" si="3"/>
        <v>-1.8757160603757206E-2</v>
      </c>
      <c r="P65">
        <f>SUM(IF(D65&gt;0.01,1),IF(H65&gt;0.01,1),IF(L65&gt;0.01,1))</f>
        <v>1</v>
      </c>
      <c r="Q65">
        <f>SUM(IF(D65&lt;-0.01,1),IF(H65&lt;-0.01,1),IF(L65&lt;-0.01,1))</f>
        <v>1</v>
      </c>
      <c r="R65">
        <f>SUM(IF(E65="lige på",1,0),IF(I65="lige på",1,0),IF(M65="lige på",1,0))</f>
        <v>1</v>
      </c>
      <c r="S65">
        <f t="shared" si="4"/>
        <v>3</v>
      </c>
    </row>
    <row r="66" spans="1:19" x14ac:dyDescent="0.25">
      <c r="A66" t="s">
        <v>39</v>
      </c>
      <c r="B66" s="21">
        <f>_xlfn.XLOOKUP(A66,'2024'!B:B,'2024'!D:D)*1.06915938074864</f>
        <v>1975930.5581116534</v>
      </c>
      <c r="C66" s="21">
        <f>_xlfn.XLOOKUP(A66,'2023-2025'!D:D,'2023-2025'!T:T)*1.06915938074864</f>
        <v>2008318.603232672</v>
      </c>
      <c r="D66" s="21">
        <f t="shared" si="0"/>
        <v>1.6391287126998517</v>
      </c>
      <c r="E66" s="21" t="str" cm="1">
        <f t="array" ref="E66">_xlfn.IFS(D66&lt;0,"under",D66&gt;0.01,"over",AND(D66&lt;0.01,D66&gt;-0.01),"lige på")</f>
        <v>over</v>
      </c>
      <c r="F66">
        <f>_xlfn.XLOOKUP(A66,'2025'!B:B,'2025'!D:D)*1.031</f>
        <v>2052033.3229999999</v>
      </c>
      <c r="G66">
        <f>_xlfn.XLOOKUP(A66,'2023-2025'!W:W,'2023-2025'!AE:AE)*1.031</f>
        <v>2036282.7359999998</v>
      </c>
      <c r="H66" s="21">
        <f t="shared" si="1"/>
        <v>-0.76756000126612267</v>
      </c>
      <c r="I66" s="21" t="str" cm="1">
        <f t="array" ref="I66">_xlfn.IFS(H66&lt;0,"under",H66&gt;0.01,"over",AND(H66&lt;0.01,H66&gt;-0.01),"lige på")</f>
        <v>under</v>
      </c>
      <c r="J66">
        <f>_xlfn.XLOOKUP(A66,'2026'!A:A,'2026'!P:P)</f>
        <v>2050692</v>
      </c>
      <c r="K66">
        <f>_xlfn.XLOOKUP(A66,'2026'!A:A,'2026'!G:G)</f>
        <v>2054759</v>
      </c>
      <c r="L66" s="21">
        <f t="shared" si="2"/>
        <v>0.19832329769658244</v>
      </c>
      <c r="M66" s="21" t="str" cm="1">
        <f t="array" ref="M66">_xlfn.IFS(L66&lt;-0.01,"under",L66&gt;0.01,"over",AND(L66&lt;0.01,L66&gt;-0.01),"lige på")</f>
        <v>over</v>
      </c>
      <c r="N66" t="str" cm="1">
        <f t="array" ref="N66">IFERROR(_xlfn.IFS(AND(E66="under",I66="under",M66="under"),"Under alle tre år",AND(E66="over",I66="over",M66="over"),"Over alle år"),"")</f>
        <v/>
      </c>
      <c r="O66" s="22">
        <f t="shared" si="3"/>
        <v>0.35663066971010382</v>
      </c>
      <c r="P66">
        <f>SUM(IF(D66&gt;0.01,1),IF(H66&gt;0.01,1),IF(L66&gt;0.01,1))</f>
        <v>2</v>
      </c>
      <c r="Q66">
        <f>SUM(IF(D66&lt;-0.01,1),IF(H66&lt;-0.01,1),IF(L66&lt;-0.01,1))</f>
        <v>1</v>
      </c>
      <c r="R66">
        <f>SUM(IF(E66="lige på",1,0),IF(I66="lige på",1,0),IF(M66="lige på",1,0))</f>
        <v>0</v>
      </c>
      <c r="S66">
        <f t="shared" si="4"/>
        <v>3</v>
      </c>
    </row>
    <row r="67" spans="1:19" x14ac:dyDescent="0.25">
      <c r="A67" t="s">
        <v>84</v>
      </c>
      <c r="B67" s="21">
        <f>_xlfn.XLOOKUP(A67,'2024'!B:B,'2024'!D:D)*1.06915938074864</f>
        <v>5307482.5081746913</v>
      </c>
      <c r="C67" s="21">
        <f>_xlfn.XLOOKUP(A67,'2023-2025'!D:D,'2023-2025'!T:T)*1.06915938074864</f>
        <v>5294147.9523779945</v>
      </c>
      <c r="D67" s="21">
        <f t="shared" ref="D67:D99" si="5">(C67-B67)/B67*100</f>
        <v>-0.25124069228977491</v>
      </c>
      <c r="E67" s="21" t="str" cm="1">
        <f t="array" ref="E67">_xlfn.IFS(D67&lt;0,"under",D67&gt;0.01,"over",AND(D67&lt;0.01,D67&gt;-0.01),"lige på")</f>
        <v>under</v>
      </c>
      <c r="F67">
        <f>_xlfn.XLOOKUP(A67,'2025'!B:B,'2025'!D:D)*1.031</f>
        <v>5417637.9709999999</v>
      </c>
      <c r="G67">
        <f>_xlfn.XLOOKUP(A67,'2023-2025'!W:W,'2023-2025'!AE:AE)*1.031</f>
        <v>5419153.5409999993</v>
      </c>
      <c r="H67" s="21">
        <f t="shared" ref="H67:H99" si="6">(G67-F67)/F67*100</f>
        <v>2.7974737479913581E-2</v>
      </c>
      <c r="I67" s="21" t="str" cm="1">
        <f t="array" ref="I67">_xlfn.IFS(H67&lt;0,"under",H67&gt;0.01,"over",AND(H67&lt;0.01,H67&gt;-0.01),"lige på")</f>
        <v>over</v>
      </c>
      <c r="J67">
        <f>_xlfn.XLOOKUP(A67,'2026'!A:A,'2026'!P:P)</f>
        <v>5462932</v>
      </c>
      <c r="K67">
        <f>_xlfn.XLOOKUP(A67,'2026'!A:A,'2026'!G:G)</f>
        <v>5457136</v>
      </c>
      <c r="L67" s="21">
        <f t="shared" ref="L67:L99" si="7">(K67-J67)/J67*100</f>
        <v>-0.10609687252193511</v>
      </c>
      <c r="M67" s="21" t="str" cm="1">
        <f t="array" ref="M67">_xlfn.IFS(L67&lt;-0.01,"under",L67&gt;0.01,"over",AND(L67&lt;0.01,L67&gt;-0.01),"lige på")</f>
        <v>under</v>
      </c>
      <c r="N67" t="str" cm="1">
        <f t="array" ref="N67">IFERROR(_xlfn.IFS(AND(E67="under",I67="under",M67="under"),"Under alle tre år",AND(E67="over",I67="over",M67="over"),"Over alle år"),"")</f>
        <v/>
      </c>
      <c r="O67" s="22">
        <f t="shared" ref="O67:O99" si="8">AVERAGE(L67,H67,D67)</f>
        <v>-0.10978760911059882</v>
      </c>
      <c r="P67">
        <f>SUM(IF(D67&gt;0.01,1),IF(H67&gt;0.01,1),IF(L67&gt;0.01,1))</f>
        <v>1</v>
      </c>
      <c r="Q67">
        <f>SUM(IF(D67&lt;-0.01,1),IF(H67&lt;-0.01,1),IF(L67&lt;-0.01,1))</f>
        <v>2</v>
      </c>
      <c r="R67">
        <f>SUM(IF(E67="lige på",1,0),IF(I67="lige på",1,0),IF(M67="lige på",1,0))</f>
        <v>0</v>
      </c>
      <c r="S67">
        <f t="shared" ref="S67:S99" si="9">SUM(P67:R67)</f>
        <v>3</v>
      </c>
    </row>
    <row r="68" spans="1:19" x14ac:dyDescent="0.25">
      <c r="A68" t="s">
        <v>100</v>
      </c>
      <c r="B68" s="21">
        <f>_xlfn.XLOOKUP(A68,'2024'!B:B,'2024'!D:D)*1.06915938074864</f>
        <v>1617080.0418759414</v>
      </c>
      <c r="C68" s="21">
        <f>_xlfn.XLOOKUP(A68,'2023-2025'!D:D,'2023-2025'!T:T)*1.06915938074864</f>
        <v>1625248.419544861</v>
      </c>
      <c r="D68" s="21">
        <f t="shared" si="5"/>
        <v>0.50513131430671421</v>
      </c>
      <c r="E68" s="21" t="str" cm="1">
        <f t="array" ref="E68">_xlfn.IFS(D68&lt;0,"under",D68&gt;0.01,"over",AND(D68&lt;0.01,D68&gt;-0.01),"lige på")</f>
        <v>over</v>
      </c>
      <c r="F68">
        <f>_xlfn.XLOOKUP(A68,'2025'!B:B,'2025'!D:D)*1.031</f>
        <v>1660771.916</v>
      </c>
      <c r="G68">
        <f>_xlfn.XLOOKUP(A68,'2023-2025'!W:W,'2023-2025'!AE:AE)*1.031</f>
        <v>1644616.1459999999</v>
      </c>
      <c r="H68" s="21">
        <f t="shared" si="6"/>
        <v>-0.97278680138760365</v>
      </c>
      <c r="I68" s="21" t="str" cm="1">
        <f t="array" ref="I68">_xlfn.IFS(H68&lt;0,"under",H68&gt;0.01,"over",AND(H68&lt;0.01,H68&gt;-0.01),"lige på")</f>
        <v>under</v>
      </c>
      <c r="J68">
        <f>_xlfn.XLOOKUP(A68,'2026'!A:A,'2026'!P:P)</f>
        <v>1656526</v>
      </c>
      <c r="K68">
        <f>_xlfn.XLOOKUP(A68,'2026'!A:A,'2026'!G:G)</f>
        <v>1675062</v>
      </c>
      <c r="L68" s="21">
        <f t="shared" si="7"/>
        <v>1.1189682504228728</v>
      </c>
      <c r="M68" s="21" t="str" cm="1">
        <f t="array" ref="M68">_xlfn.IFS(L68&lt;-0.01,"under",L68&gt;0.01,"over",AND(L68&lt;0.01,L68&gt;-0.01),"lige på")</f>
        <v>over</v>
      </c>
      <c r="N68" t="str" cm="1">
        <f t="array" ref="N68">IFERROR(_xlfn.IFS(AND(E68="under",I68="under",M68="under"),"Under alle tre år",AND(E68="over",I68="over",M68="over"),"Over alle år"),"")</f>
        <v/>
      </c>
      <c r="O68" s="22">
        <f t="shared" si="8"/>
        <v>0.21710425444732781</v>
      </c>
      <c r="P68">
        <f>SUM(IF(D68&gt;0.01,1),IF(H68&gt;0.01,1),IF(L68&gt;0.01,1))</f>
        <v>2</v>
      </c>
      <c r="Q68">
        <f>SUM(IF(D68&lt;-0.01,1),IF(H68&lt;-0.01,1),IF(L68&lt;-0.01,1))</f>
        <v>1</v>
      </c>
      <c r="R68">
        <f>SUM(IF(E68="lige på",1,0),IF(I68="lige på",1,0),IF(M68="lige på",1,0))</f>
        <v>0</v>
      </c>
      <c r="S68">
        <f t="shared" si="9"/>
        <v>3</v>
      </c>
    </row>
    <row r="69" spans="1:19" x14ac:dyDescent="0.25">
      <c r="A69" t="s">
        <v>90</v>
      </c>
      <c r="B69" s="21">
        <f>_xlfn.XLOOKUP(A69,'2024'!B:B,'2024'!D:D)*1.06915938074864</f>
        <v>3064578.5760525796</v>
      </c>
      <c r="C69" s="21">
        <f>_xlfn.XLOOKUP(A69,'2023-2025'!D:D,'2023-2025'!T:T)*1.06915938074864</f>
        <v>3087162.429652133</v>
      </c>
      <c r="D69" s="21">
        <f t="shared" si="5"/>
        <v>0.73693178487997058</v>
      </c>
      <c r="E69" s="21" t="str" cm="1">
        <f t="array" ref="E69">_xlfn.IFS(D69&lt;0,"under",D69&gt;0.01,"over",AND(D69&lt;0.01,D69&gt;-0.01),"lige på")</f>
        <v>over</v>
      </c>
      <c r="F69">
        <f>_xlfn.XLOOKUP(A69,'2025'!B:B,'2025'!D:D)*1.031</f>
        <v>3155369.3139999998</v>
      </c>
      <c r="G69">
        <f>_xlfn.XLOOKUP(A69,'2023-2025'!W:W,'2023-2025'!AE:AE)*1.031</f>
        <v>3121708.1949999998</v>
      </c>
      <c r="H69" s="21">
        <f t="shared" si="6"/>
        <v>-1.0667885641991113</v>
      </c>
      <c r="I69" s="21" t="str" cm="1">
        <f t="array" ref="I69">_xlfn.IFS(H69&lt;0,"under",H69&gt;0.01,"over",AND(H69&lt;0.01,H69&gt;-0.01),"lige på")</f>
        <v>under</v>
      </c>
      <c r="J69">
        <f>_xlfn.XLOOKUP(A69,'2026'!A:A,'2026'!P:P)</f>
        <v>3144604</v>
      </c>
      <c r="K69">
        <f>_xlfn.XLOOKUP(A69,'2026'!A:A,'2026'!G:G)</f>
        <v>3144604</v>
      </c>
      <c r="L69" s="21">
        <f t="shared" si="7"/>
        <v>0</v>
      </c>
      <c r="M69" s="21" t="str" cm="1">
        <f t="array" ref="M69">_xlfn.IFS(L69&lt;-0.01,"under",L69&gt;0.01,"over",AND(L69&lt;0.01,L69&gt;-0.01),"lige på")</f>
        <v>lige på</v>
      </c>
      <c r="N69" t="str" cm="1">
        <f t="array" ref="N69">IFERROR(_xlfn.IFS(AND(E69="under",I69="under",M69="under"),"Under alle tre år",AND(E69="over",I69="over",M69="over"),"Over alle år"),"")</f>
        <v/>
      </c>
      <c r="O69" s="22">
        <f t="shared" si="8"/>
        <v>-0.1099522597730469</v>
      </c>
      <c r="P69">
        <f>SUM(IF(D69&gt;0.01,1),IF(H69&gt;0.01,1),IF(L69&gt;0.01,1))</f>
        <v>1</v>
      </c>
      <c r="Q69">
        <f>SUM(IF(D69&lt;-0.01,1),IF(H69&lt;-0.01,1),IF(L69&lt;-0.01,1))</f>
        <v>1</v>
      </c>
      <c r="R69">
        <f>SUM(IF(E69="lige på",1,0),IF(I69="lige på",1,0),IF(M69="lige på",1,0))</f>
        <v>1</v>
      </c>
      <c r="S69">
        <f t="shared" si="9"/>
        <v>3</v>
      </c>
    </row>
    <row r="70" spans="1:19" x14ac:dyDescent="0.25">
      <c r="A70" t="s">
        <v>43</v>
      </c>
      <c r="B70" s="21">
        <f>_xlfn.XLOOKUP(A70,'2024'!B:B,'2024'!D:D)*1.06915938074864</f>
        <v>2027780.5114404394</v>
      </c>
      <c r="C70" s="21">
        <f>_xlfn.XLOOKUP(A70,'2023-2025'!D:D,'2023-2025'!T:T)*1.06915938074864</f>
        <v>2059527.0609330088</v>
      </c>
      <c r="D70" s="21">
        <f t="shared" si="5"/>
        <v>1.5655811520753868</v>
      </c>
      <c r="E70" s="21" t="str" cm="1">
        <f t="array" ref="E70">_xlfn.IFS(D70&lt;0,"under",D70&gt;0.01,"over",AND(D70&lt;0.01,D70&gt;-0.01),"lige på")</f>
        <v>over</v>
      </c>
      <c r="F70">
        <f>_xlfn.XLOOKUP(A70,'2025'!B:B,'2025'!D:D)*1.031</f>
        <v>2104113.2569999998</v>
      </c>
      <c r="G70">
        <f>_xlfn.XLOOKUP(A70,'2023-2025'!W:W,'2023-2025'!AE:AE)*1.031</f>
        <v>2046412.3109999998</v>
      </c>
      <c r="H70" s="21">
        <f t="shared" si="6"/>
        <v>-2.7422927833394666</v>
      </c>
      <c r="I70" s="21" t="str" cm="1">
        <f t="array" ref="I70">_xlfn.IFS(H70&lt;0,"under",H70&gt;0.01,"over",AND(H70&lt;0.01,H70&gt;-0.01),"lige på")</f>
        <v>under</v>
      </c>
      <c r="J70">
        <f>_xlfn.XLOOKUP(A70,'2026'!A:A,'2026'!P:P)</f>
        <v>2061471</v>
      </c>
      <c r="K70">
        <f>_xlfn.XLOOKUP(A70,'2026'!A:A,'2026'!G:G)</f>
        <v>2060793</v>
      </c>
      <c r="L70" s="21">
        <f t="shared" si="7"/>
        <v>-3.288913596165069E-2</v>
      </c>
      <c r="M70" s="21" t="str" cm="1">
        <f t="array" ref="M70">_xlfn.IFS(L70&lt;-0.01,"under",L70&gt;0.01,"over",AND(L70&lt;0.01,L70&gt;-0.01),"lige på")</f>
        <v>under</v>
      </c>
      <c r="N70" t="str" cm="1">
        <f t="array" ref="N70">IFERROR(_xlfn.IFS(AND(E70="under",I70="under",M70="under"),"Under alle tre år",AND(E70="over",I70="over",M70="over"),"Over alle år"),"")</f>
        <v/>
      </c>
      <c r="O70" s="22">
        <f t="shared" si="8"/>
        <v>-0.40320025574191015</v>
      </c>
      <c r="P70">
        <f>SUM(IF(D70&gt;0.01,1),IF(H70&gt;0.01,1),IF(L70&gt;0.01,1))</f>
        <v>1</v>
      </c>
      <c r="Q70">
        <f>SUM(IF(D70&lt;-0.01,1),IF(H70&lt;-0.01,1),IF(L70&lt;-0.01,1))</f>
        <v>2</v>
      </c>
      <c r="R70">
        <f>SUM(IF(E70="lige på",1,0),IF(I70="lige på",1,0),IF(M70="lige på",1,0))</f>
        <v>0</v>
      </c>
      <c r="S70">
        <f t="shared" si="9"/>
        <v>3</v>
      </c>
    </row>
    <row r="71" spans="1:19" x14ac:dyDescent="0.25">
      <c r="A71" t="s">
        <v>36</v>
      </c>
      <c r="B71" s="21">
        <f>_xlfn.XLOOKUP(A71,'2024'!B:B,'2024'!D:D)*1.06915938074864</f>
        <v>4967859.7542423625</v>
      </c>
      <c r="C71" s="21">
        <f>_xlfn.XLOOKUP(A71,'2023-2025'!D:D,'2023-2025'!T:T)*1.06915938074864</f>
        <v>4963856.8215208398</v>
      </c>
      <c r="D71" s="21">
        <f t="shared" si="5"/>
        <v>-8.0576604806612856E-2</v>
      </c>
      <c r="E71" s="21" t="str" cm="1">
        <f t="array" ref="E71">_xlfn.IFS(D71&lt;0,"under",D71&gt;0.01,"over",AND(D71&lt;0.01,D71&gt;-0.01),"lige på")</f>
        <v>under</v>
      </c>
      <c r="F71">
        <f>_xlfn.XLOOKUP(A71,'2025'!B:B,'2025'!D:D)*1.031</f>
        <v>5068998.1039999994</v>
      </c>
      <c r="G71">
        <f>_xlfn.XLOOKUP(A71,'2023-2025'!W:W,'2023-2025'!AE:AE)*1.031</f>
        <v>5037307.2259999998</v>
      </c>
      <c r="H71" s="21">
        <f t="shared" si="6"/>
        <v>-0.62519017268899668</v>
      </c>
      <c r="I71" s="21" t="str" cm="1">
        <f t="array" ref="I71">_xlfn.IFS(H71&lt;0,"under",H71&gt;0.01,"over",AND(H71&lt;0.01,H71&gt;-0.01),"lige på")</f>
        <v>under</v>
      </c>
      <c r="J71">
        <f>_xlfn.XLOOKUP(A71,'2026'!A:A,'2026'!P:P)</f>
        <v>5071421</v>
      </c>
      <c r="K71">
        <f>_xlfn.XLOOKUP(A71,'2026'!A:A,'2026'!G:G)</f>
        <v>5087314</v>
      </c>
      <c r="L71" s="21">
        <f t="shared" si="7"/>
        <v>0.31338356645997251</v>
      </c>
      <c r="M71" s="21" t="str" cm="1">
        <f t="array" ref="M71">_xlfn.IFS(L71&lt;-0.01,"under",L71&gt;0.01,"over",AND(L71&lt;0.01,L71&gt;-0.01),"lige på")</f>
        <v>over</v>
      </c>
      <c r="N71" t="str" cm="1">
        <f t="array" ref="N71">IFERROR(_xlfn.IFS(AND(E71="under",I71="under",M71="under"),"Under alle tre år",AND(E71="over",I71="over",M71="over"),"Over alle år"),"")</f>
        <v/>
      </c>
      <c r="O71" s="22">
        <f t="shared" si="8"/>
        <v>-0.13079440367854567</v>
      </c>
      <c r="P71">
        <f>SUM(IF(D71&gt;0.01,1),IF(H71&gt;0.01,1),IF(L71&gt;0.01,1))</f>
        <v>1</v>
      </c>
      <c r="Q71">
        <f>SUM(IF(D71&lt;-0.01,1),IF(H71&lt;-0.01,1),IF(L71&lt;-0.01,1))</f>
        <v>2</v>
      </c>
      <c r="R71">
        <f>SUM(IF(E71="lige på",1,0),IF(I71="lige på",1,0),IF(M71="lige på",1,0))</f>
        <v>0</v>
      </c>
      <c r="S71">
        <f t="shared" si="9"/>
        <v>3</v>
      </c>
    </row>
    <row r="72" spans="1:19" x14ac:dyDescent="0.25">
      <c r="A72" t="s">
        <v>30</v>
      </c>
      <c r="B72" s="21">
        <f>_xlfn.XLOOKUP(A72,'2024'!B:B,'2024'!D:D)*1.06915938074864</f>
        <v>3284831.823443084</v>
      </c>
      <c r="C72" s="21">
        <f>_xlfn.XLOOKUP(A72,'2023-2025'!D:D,'2023-2025'!T:T)*1.06915938074864</f>
        <v>3319794.4043529453</v>
      </c>
      <c r="D72" s="21">
        <f t="shared" si="5"/>
        <v>1.0643644116067499</v>
      </c>
      <c r="E72" s="21" t="str" cm="1">
        <f t="array" ref="E72">_xlfn.IFS(D72&lt;0,"under",D72&gt;0.01,"over",AND(D72&lt;0.01,D72&gt;-0.01),"lige på")</f>
        <v>over</v>
      </c>
      <c r="F72">
        <f>_xlfn.XLOOKUP(A72,'2025'!B:B,'2025'!D:D)*1.031</f>
        <v>3386718.4969999995</v>
      </c>
      <c r="G72">
        <f>_xlfn.XLOOKUP(A72,'2023-2025'!W:W,'2023-2025'!AE:AE)*1.031</f>
        <v>3389800.1559999995</v>
      </c>
      <c r="H72" s="21">
        <f t="shared" si="6"/>
        <v>9.0992475540254081E-2</v>
      </c>
      <c r="I72" s="21" t="str" cm="1">
        <f t="array" ref="I72">_xlfn.IFS(H72&lt;0,"under",H72&gt;0.01,"over",AND(H72&lt;0.01,H72&gt;-0.01),"lige på")</f>
        <v>over</v>
      </c>
      <c r="J72">
        <f>_xlfn.XLOOKUP(A72,'2026'!A:A,'2026'!P:P)</f>
        <v>3410191</v>
      </c>
      <c r="K72">
        <f>_xlfn.XLOOKUP(A72,'2026'!A:A,'2026'!G:G)</f>
        <v>3410208</v>
      </c>
      <c r="L72" s="21">
        <f t="shared" si="7"/>
        <v>4.9850580216767918E-4</v>
      </c>
      <c r="M72" s="21" t="str" cm="1">
        <f t="array" ref="M72">_xlfn.IFS(L72&lt;-0.01,"under",L72&gt;0.01,"over",AND(L72&lt;0.01,L72&gt;-0.01),"lige på")</f>
        <v>lige på</v>
      </c>
      <c r="N72" t="str" cm="1">
        <f t="array" ref="N72">IFERROR(_xlfn.IFS(AND(E72="under",I72="under",M72="under"),"Under alle tre år",AND(E72="over",I72="over",M72="over"),"Over alle år"),"")</f>
        <v/>
      </c>
      <c r="O72" s="22">
        <f t="shared" si="8"/>
        <v>0.38528513098305722</v>
      </c>
      <c r="P72">
        <f>SUM(IF(D72&gt;0.01,1),IF(H72&gt;0.01,1),IF(L72&gt;0.01,1))</f>
        <v>2</v>
      </c>
      <c r="Q72">
        <f>SUM(IF(D72&lt;-0.01,1),IF(H72&lt;-0.01,1),IF(L72&lt;-0.01,1))</f>
        <v>0</v>
      </c>
      <c r="R72">
        <f>SUM(IF(E72="lige på",1,0),IF(I72="lige på",1,0),IF(M72="lige på",1,0))</f>
        <v>1</v>
      </c>
      <c r="S72">
        <f t="shared" si="9"/>
        <v>3</v>
      </c>
    </row>
    <row r="73" spans="1:19" x14ac:dyDescent="0.25">
      <c r="A73" t="s">
        <v>20</v>
      </c>
      <c r="B73" s="21">
        <f>_xlfn.XLOOKUP(A73,'2024'!B:B,'2024'!D:D)*1.06915938074864</f>
        <v>2699544.0419586175</v>
      </c>
      <c r="C73" s="21">
        <f>_xlfn.XLOOKUP(A73,'2023-2025'!D:D,'2023-2025'!T:T)*1.06915938074864</f>
        <v>2726062.4020793261</v>
      </c>
      <c r="D73" s="21">
        <f t="shared" si="5"/>
        <v>0.98232737486544408</v>
      </c>
      <c r="E73" s="21" t="str" cm="1">
        <f t="array" ref="E73">_xlfn.IFS(D73&lt;0,"under",D73&gt;0.01,"over",AND(D73&lt;0.01,D73&gt;-0.01),"lige på")</f>
        <v>over</v>
      </c>
      <c r="F73">
        <f>_xlfn.XLOOKUP(A73,'2025'!B:B,'2025'!D:D)*1.031</f>
        <v>2783371.1109999996</v>
      </c>
      <c r="G73">
        <f>_xlfn.XLOOKUP(A73,'2023-2025'!W:W,'2023-2025'!AE:AE)*1.031</f>
        <v>2809975.0349999997</v>
      </c>
      <c r="H73" s="21">
        <f t="shared" si="6"/>
        <v>0.95581663166870878</v>
      </c>
      <c r="I73" s="21" t="str" cm="1">
        <f t="array" ref="I73">_xlfn.IFS(H73&lt;0,"under",H73&gt;0.01,"over",AND(H73&lt;0.01,H73&gt;-0.01),"lige på")</f>
        <v>over</v>
      </c>
      <c r="J73">
        <f>_xlfn.XLOOKUP(A73,'2026'!A:A,'2026'!P:P)</f>
        <v>2829085</v>
      </c>
      <c r="K73">
        <f>_xlfn.XLOOKUP(A73,'2026'!A:A,'2026'!G:G)</f>
        <v>2847013</v>
      </c>
      <c r="L73" s="21">
        <f t="shared" si="7"/>
        <v>0.63370312309456944</v>
      </c>
      <c r="M73" s="21" t="str" cm="1">
        <f t="array" ref="M73">_xlfn.IFS(L73&lt;-0.01,"under",L73&gt;0.01,"over",AND(L73&lt;0.01,L73&gt;-0.01),"lige på")</f>
        <v>over</v>
      </c>
      <c r="N73" t="str" cm="1">
        <f t="array" ref="N73">IFERROR(_xlfn.IFS(AND(E73="under",I73="under",M73="under"),"Under alle tre år",AND(E73="over",I73="over",M73="over"),"Over alle år"),"")</f>
        <v>Over alle år</v>
      </c>
      <c r="O73" s="22">
        <f t="shared" si="8"/>
        <v>0.85728237654290751</v>
      </c>
      <c r="P73">
        <f>SUM(IF(D73&gt;0.01,1),IF(H73&gt;0.01,1),IF(L73&gt;0.01,1))</f>
        <v>3</v>
      </c>
      <c r="Q73">
        <f>SUM(IF(D73&lt;-0.01,1),IF(H73&lt;-0.01,1),IF(L73&lt;-0.01,1))</f>
        <v>0</v>
      </c>
      <c r="R73">
        <f>SUM(IF(E73="lige på",1,0),IF(I73="lige på",1,0),IF(M73="lige på",1,0))</f>
        <v>0</v>
      </c>
      <c r="S73">
        <f t="shared" si="9"/>
        <v>3</v>
      </c>
    </row>
    <row r="74" spans="1:19" x14ac:dyDescent="0.25">
      <c r="A74" t="s">
        <v>86</v>
      </c>
      <c r="B74" s="21">
        <f>_xlfn.XLOOKUP(A74,'2024'!B:B,'2024'!D:D)*1.06915938074864</f>
        <v>290228.65970112203</v>
      </c>
      <c r="C74" s="21">
        <f>_xlfn.XLOOKUP(A74,'2023-2025'!D:D,'2023-2025'!T:T)*1.06915938074864</f>
        <v>286334.78123643552</v>
      </c>
      <c r="D74" s="21">
        <f t="shared" si="5"/>
        <v>-1.3416588384815036</v>
      </c>
      <c r="E74" s="21" t="str" cm="1">
        <f t="array" ref="E74">_xlfn.IFS(D74&lt;0,"under",D74&gt;0.01,"over",AND(D74&lt;0.01,D74&gt;-0.01),"lige på")</f>
        <v>under</v>
      </c>
      <c r="F74">
        <f>_xlfn.XLOOKUP(A74,'2025'!B:B,'2025'!D:D)*1.031</f>
        <v>291601.85399999999</v>
      </c>
      <c r="G74">
        <f>_xlfn.XLOOKUP(A74,'2023-2025'!W:W,'2023-2025'!AE:AE)*1.031</f>
        <v>280518.60399999999</v>
      </c>
      <c r="H74" s="21">
        <f t="shared" si="6"/>
        <v>-3.800816026361753</v>
      </c>
      <c r="I74" s="21" t="str" cm="1">
        <f t="array" ref="I74">_xlfn.IFS(H74&lt;0,"under",H74&gt;0.01,"over",AND(H74&lt;0.01,H74&gt;-0.01),"lige på")</f>
        <v>under</v>
      </c>
      <c r="J74">
        <f>_xlfn.XLOOKUP(A74,'2026'!A:A,'2026'!P:P)</f>
        <v>281920</v>
      </c>
      <c r="K74">
        <f>_xlfn.XLOOKUP(A74,'2026'!A:A,'2026'!G:G)</f>
        <v>279075</v>
      </c>
      <c r="L74" s="21">
        <f t="shared" si="7"/>
        <v>-1.0091515323496028</v>
      </c>
      <c r="M74" s="21" t="str" cm="1">
        <f t="array" ref="M74">_xlfn.IFS(L74&lt;-0.01,"under",L74&gt;0.01,"over",AND(L74&lt;0.01,L74&gt;-0.01),"lige på")</f>
        <v>under</v>
      </c>
      <c r="N74" t="str" cm="1">
        <f t="array" ref="N74">IFERROR(_xlfn.IFS(AND(E74="under",I74="under",M74="under"),"Under alle tre år",AND(E74="over",I74="over",M74="over"),"Over alle år"),"")</f>
        <v>Under alle tre år</v>
      </c>
      <c r="O74" s="22">
        <f t="shared" si="8"/>
        <v>-2.0505421323976196</v>
      </c>
      <c r="P74">
        <f>SUM(IF(D74&gt;0.01,1),IF(H74&gt;0.01,1),IF(L74&gt;0.01,1))</f>
        <v>0</v>
      </c>
      <c r="Q74">
        <f>SUM(IF(D74&lt;-0.01,1),IF(H74&lt;-0.01,1),IF(L74&lt;-0.01,1))</f>
        <v>3</v>
      </c>
      <c r="R74">
        <f>SUM(IF(E74="lige på",1,0),IF(I74="lige på",1,0),IF(M74="lige på",1,0))</f>
        <v>0</v>
      </c>
      <c r="S74">
        <f t="shared" si="9"/>
        <v>3</v>
      </c>
    </row>
    <row r="75" spans="1:19" x14ac:dyDescent="0.25">
      <c r="A75" t="s">
        <v>85</v>
      </c>
      <c r="B75" s="21">
        <f>_xlfn.XLOOKUP(A75,'2024'!B:B,'2024'!D:D)*1.06915938074864</f>
        <v>5079359.178582496</v>
      </c>
      <c r="C75" s="21">
        <f>_xlfn.XLOOKUP(A75,'2023-2025'!D:D,'2023-2025'!T:T)*1.06915938074864</f>
        <v>5137568.4919079756</v>
      </c>
      <c r="D75" s="21">
        <f t="shared" si="5"/>
        <v>1.1459971874193031</v>
      </c>
      <c r="E75" s="21" t="str" cm="1">
        <f t="array" ref="E75">_xlfn.IFS(D75&lt;0,"under",D75&gt;0.01,"over",AND(D75&lt;0.01,D75&gt;-0.01),"lige på")</f>
        <v>over</v>
      </c>
      <c r="F75">
        <f>_xlfn.XLOOKUP(A75,'2025'!B:B,'2025'!D:D)*1.031</f>
        <v>5252532.5999999996</v>
      </c>
      <c r="G75">
        <f>_xlfn.XLOOKUP(A75,'2023-2025'!W:W,'2023-2025'!AE:AE)*1.031</f>
        <v>5292357.0369999995</v>
      </c>
      <c r="H75" s="21">
        <f t="shared" si="6"/>
        <v>0.75819495151729133</v>
      </c>
      <c r="I75" s="21" t="str" cm="1">
        <f t="array" ref="I75">_xlfn.IFS(H75&lt;0,"under",H75&gt;0.01,"over",AND(H75&lt;0.01,H75&gt;-0.01),"lige på")</f>
        <v>over</v>
      </c>
      <c r="J75">
        <f>_xlfn.XLOOKUP(A75,'2026'!A:A,'2026'!P:P)</f>
        <v>5332049</v>
      </c>
      <c r="K75">
        <f>_xlfn.XLOOKUP(A75,'2026'!A:A,'2026'!G:G)</f>
        <v>5398584</v>
      </c>
      <c r="L75" s="21">
        <f t="shared" si="7"/>
        <v>1.2478317434817272</v>
      </c>
      <c r="M75" s="21" t="str" cm="1">
        <f t="array" ref="M75">_xlfn.IFS(L75&lt;-0.01,"under",L75&gt;0.01,"over",AND(L75&lt;0.01,L75&gt;-0.01),"lige på")</f>
        <v>over</v>
      </c>
      <c r="N75" t="str" cm="1">
        <f t="array" ref="N75">IFERROR(_xlfn.IFS(AND(E75="under",I75="under",M75="under"),"Under alle tre år",AND(E75="over",I75="over",M75="over"),"Over alle år"),"")</f>
        <v>Over alle år</v>
      </c>
      <c r="O75" s="22">
        <f t="shared" si="8"/>
        <v>1.0506746274727738</v>
      </c>
      <c r="P75">
        <f>SUM(IF(D75&gt;0.01,1),IF(H75&gt;0.01,1),IF(L75&gt;0.01,1))</f>
        <v>3</v>
      </c>
      <c r="Q75">
        <f>SUM(IF(D75&lt;-0.01,1),IF(H75&lt;-0.01,1),IF(L75&lt;-0.01,1))</f>
        <v>0</v>
      </c>
      <c r="R75">
        <f>SUM(IF(E75="lige på",1,0),IF(I75="lige på",1,0),IF(M75="lige på",1,0))</f>
        <v>0</v>
      </c>
      <c r="S75">
        <f t="shared" si="9"/>
        <v>3</v>
      </c>
    </row>
    <row r="76" spans="1:19" x14ac:dyDescent="0.25">
      <c r="A76" t="s">
        <v>87</v>
      </c>
      <c r="B76" s="21">
        <f>_xlfn.XLOOKUP(A76,'2024'!B:B,'2024'!D:D)*1.06915938074864</f>
        <v>3410744.5853950898</v>
      </c>
      <c r="C76" s="21">
        <f>_xlfn.XLOOKUP(A76,'2023-2025'!D:D,'2023-2025'!T:T)*1.06915938074864</f>
        <v>3486956.4043736141</v>
      </c>
      <c r="D76" s="21">
        <f t="shared" si="5"/>
        <v>2.2344628004355878</v>
      </c>
      <c r="E76" s="21" t="str" cm="1">
        <f t="array" ref="E76">_xlfn.IFS(D76&lt;0,"under",D76&gt;0.01,"over",AND(D76&lt;0.01,D76&gt;-0.01),"lige på")</f>
        <v>over</v>
      </c>
      <c r="F76">
        <f>_xlfn.XLOOKUP(A76,'2025'!B:B,'2025'!D:D)*1.031</f>
        <v>3560686.3439999996</v>
      </c>
      <c r="G76">
        <f>_xlfn.XLOOKUP(A76,'2023-2025'!W:W,'2023-2025'!AE:AE)*1.031</f>
        <v>3560987.3959999997</v>
      </c>
      <c r="H76" s="21">
        <f t="shared" si="6"/>
        <v>8.4548868087590701E-3</v>
      </c>
      <c r="I76" s="21" t="str" cm="1">
        <f t="array" ref="I76">_xlfn.IFS(H76&lt;0,"under",H76&gt;0.01,"over",AND(H76&lt;0.01,H76&gt;-0.01),"lige på")</f>
        <v>lige på</v>
      </c>
      <c r="J76">
        <f>_xlfn.XLOOKUP(A76,'2026'!A:A,'2026'!P:P)</f>
        <v>3584814</v>
      </c>
      <c r="K76">
        <f>_xlfn.XLOOKUP(A76,'2026'!A:A,'2026'!G:G)</f>
        <v>3615000</v>
      </c>
      <c r="L76" s="21">
        <f t="shared" si="7"/>
        <v>0.84205205625731205</v>
      </c>
      <c r="M76" s="21" t="str" cm="1">
        <f t="array" ref="M76">_xlfn.IFS(L76&lt;-0.01,"under",L76&gt;0.01,"over",AND(L76&lt;0.01,L76&gt;-0.01),"lige på")</f>
        <v>over</v>
      </c>
      <c r="N76" t="str" cm="1">
        <f t="array" ref="N76">IFERROR(_xlfn.IFS(AND(E76="under",I76="under",M76="under"),"Under alle tre år",AND(E76="over",I76="over",M76="over"),"Over alle år"),"")</f>
        <v/>
      </c>
      <c r="O76" s="22">
        <f t="shared" si="8"/>
        <v>1.0283232478338864</v>
      </c>
      <c r="P76">
        <f>SUM(IF(D76&gt;0.01,1),IF(H76&gt;0.01,1),IF(L76&gt;0.01,1))</f>
        <v>2</v>
      </c>
      <c r="Q76">
        <f>SUM(IF(D76&lt;-0.01,1),IF(H76&lt;-0.01,1),IF(L76&lt;-0.01,1))</f>
        <v>0</v>
      </c>
      <c r="R76">
        <f>SUM(IF(E76="lige på",1,0),IF(I76="lige på",1,0),IF(M76="lige på",1,0))</f>
        <v>1</v>
      </c>
      <c r="S76">
        <f t="shared" si="9"/>
        <v>3</v>
      </c>
    </row>
    <row r="77" spans="1:19" x14ac:dyDescent="0.25">
      <c r="A77" t="s">
        <v>93</v>
      </c>
      <c r="B77" s="21">
        <f>_xlfn.XLOOKUP(A77,'2024'!B:B,'2024'!D:D)*1.06915938074864</f>
        <v>2530400.8896054211</v>
      </c>
      <c r="C77" s="21">
        <f>_xlfn.XLOOKUP(A77,'2023-2025'!D:D,'2023-2025'!T:T)*1.06915938074864</f>
        <v>2541321.2835203875</v>
      </c>
      <c r="D77" s="21">
        <f t="shared" si="5"/>
        <v>0.43156773931854153</v>
      </c>
      <c r="E77" s="21" t="str" cm="1">
        <f t="array" ref="E77">_xlfn.IFS(D77&lt;0,"under",D77&gt;0.01,"over",AND(D77&lt;0.01,D77&gt;-0.01),"lige på")</f>
        <v>over</v>
      </c>
      <c r="F77">
        <f>_xlfn.XLOOKUP(A77,'2025'!B:B,'2025'!D:D)*1.031</f>
        <v>2598260.216</v>
      </c>
      <c r="G77">
        <f>_xlfn.XLOOKUP(A77,'2023-2025'!W:W,'2023-2025'!AE:AE)*1.031</f>
        <v>2566334.27</v>
      </c>
      <c r="H77" s="21">
        <f t="shared" si="6"/>
        <v>-1.2287432106838678</v>
      </c>
      <c r="I77" s="21" t="str" cm="1">
        <f t="array" ref="I77">_xlfn.IFS(H77&lt;0,"under",H77&gt;0.01,"over",AND(H77&lt;0.01,H77&gt;-0.01),"lige på")</f>
        <v>under</v>
      </c>
      <c r="J77">
        <f>_xlfn.XLOOKUP(A77,'2026'!A:A,'2026'!P:P)</f>
        <v>2585693</v>
      </c>
      <c r="K77">
        <f>_xlfn.XLOOKUP(A77,'2026'!A:A,'2026'!G:G)</f>
        <v>2564371</v>
      </c>
      <c r="L77" s="21">
        <f t="shared" si="7"/>
        <v>-0.82461452306983074</v>
      </c>
      <c r="M77" s="21" t="str" cm="1">
        <f t="array" ref="M77">_xlfn.IFS(L77&lt;-0.01,"under",L77&gt;0.01,"over",AND(L77&lt;0.01,L77&gt;-0.01),"lige på")</f>
        <v>under</v>
      </c>
      <c r="N77" t="str" cm="1">
        <f t="array" ref="N77">IFERROR(_xlfn.IFS(AND(E77="under",I77="under",M77="under"),"Under alle tre år",AND(E77="over",I77="over",M77="over"),"Over alle år"),"")</f>
        <v/>
      </c>
      <c r="O77" s="22">
        <f t="shared" si="8"/>
        <v>-0.54059666481171909</v>
      </c>
      <c r="P77">
        <f>SUM(IF(D77&gt;0.01,1),IF(H77&gt;0.01,1),IF(L77&gt;0.01,1))</f>
        <v>1</v>
      </c>
      <c r="Q77">
        <f>SUM(IF(D77&lt;-0.01,1),IF(H77&lt;-0.01,1),IF(L77&lt;-0.01,1))</f>
        <v>2</v>
      </c>
      <c r="R77">
        <f>SUM(IF(E77="lige på",1,0),IF(I77="lige på",1,0),IF(M77="lige på",1,0))</f>
        <v>0</v>
      </c>
      <c r="S77">
        <f t="shared" si="9"/>
        <v>3</v>
      </c>
    </row>
    <row r="78" spans="1:19" x14ac:dyDescent="0.25">
      <c r="A78" t="s">
        <v>44</v>
      </c>
      <c r="B78" s="21">
        <f>_xlfn.XLOOKUP(A78,'2024'!B:B,'2024'!D:D)*1.06915938074864</f>
        <v>4510944.8704450047</v>
      </c>
      <c r="C78" s="21">
        <f>_xlfn.XLOOKUP(A78,'2023-2025'!D:D,'2023-2025'!T:T)*1.06915938074864</f>
        <v>4505668.5689010108</v>
      </c>
      <c r="D78" s="21">
        <f t="shared" si="5"/>
        <v>-0.11696665988013656</v>
      </c>
      <c r="E78" s="21" t="str" cm="1">
        <f t="array" ref="E78">_xlfn.IFS(D78&lt;0,"under",D78&gt;0.01,"over",AND(D78&lt;0.01,D78&gt;-0.01),"lige på")</f>
        <v>under</v>
      </c>
      <c r="F78">
        <f>_xlfn.XLOOKUP(A78,'2025'!B:B,'2025'!D:D)*1.031</f>
        <v>4609147.3599999994</v>
      </c>
      <c r="G78">
        <f>_xlfn.XLOOKUP(A78,'2023-2025'!W:W,'2023-2025'!AE:AE)*1.031</f>
        <v>4581541.3039999995</v>
      </c>
      <c r="H78" s="21">
        <f t="shared" si="6"/>
        <v>-0.59894062488815436</v>
      </c>
      <c r="I78" s="21" t="str" cm="1">
        <f t="array" ref="I78">_xlfn.IFS(H78&lt;0,"under",H78&gt;0.01,"over",AND(H78&lt;0.01,H78&gt;-0.01),"lige på")</f>
        <v>under</v>
      </c>
      <c r="J78">
        <f>_xlfn.XLOOKUP(A78,'2026'!A:A,'2026'!P:P)</f>
        <v>4617561</v>
      </c>
      <c r="K78">
        <f>_xlfn.XLOOKUP(A78,'2026'!A:A,'2026'!G:G)</f>
        <v>4613788</v>
      </c>
      <c r="L78" s="21">
        <f t="shared" si="7"/>
        <v>-8.1709803075692991E-2</v>
      </c>
      <c r="M78" s="21" t="str" cm="1">
        <f t="array" ref="M78">_xlfn.IFS(L78&lt;-0.01,"under",L78&gt;0.01,"over",AND(L78&lt;0.01,L78&gt;-0.01),"lige på")</f>
        <v>under</v>
      </c>
      <c r="N78" t="str" cm="1">
        <f t="array" ref="N78">IFERROR(_xlfn.IFS(AND(E78="under",I78="under",M78="under"),"Under alle tre år",AND(E78="over",I78="over",M78="over"),"Over alle år"),"")</f>
        <v>Under alle tre år</v>
      </c>
      <c r="O78" s="22">
        <f t="shared" si="8"/>
        <v>-0.2658723626146613</v>
      </c>
      <c r="P78">
        <f>SUM(IF(D78&gt;0.01,1),IF(H78&gt;0.01,1),IF(L78&gt;0.01,1))</f>
        <v>0</v>
      </c>
      <c r="Q78">
        <f>SUM(IF(D78&lt;-0.01,1),IF(H78&lt;-0.01,1),IF(L78&lt;-0.01,1))</f>
        <v>3</v>
      </c>
      <c r="R78">
        <f>SUM(IF(E78="lige på",1,0),IF(I78="lige på",1,0),IF(M78="lige på",1,0))</f>
        <v>0</v>
      </c>
      <c r="S78">
        <f t="shared" si="9"/>
        <v>3</v>
      </c>
    </row>
    <row r="79" spans="1:19" x14ac:dyDescent="0.25">
      <c r="A79" t="s">
        <v>37</v>
      </c>
      <c r="B79" s="21">
        <f>_xlfn.XLOOKUP(A79,'2024'!B:B,'2024'!D:D)*1.06915938074864</f>
        <v>1327862.8069490076</v>
      </c>
      <c r="C79" s="21">
        <f>_xlfn.XLOOKUP(A79,'2023-2025'!D:D,'2023-2025'!T:T)*1.06915938074864</f>
        <v>1343741.9620718863</v>
      </c>
      <c r="D79" s="21">
        <f t="shared" si="5"/>
        <v>1.1958430524433326</v>
      </c>
      <c r="E79" s="21" t="str" cm="1">
        <f t="array" ref="E79">_xlfn.IFS(D79&lt;0,"under",D79&gt;0.01,"over",AND(D79&lt;0.01,D79&gt;-0.01),"lige på")</f>
        <v>over</v>
      </c>
      <c r="F79">
        <f>_xlfn.XLOOKUP(A79,'2025'!B:B,'2025'!D:D)*1.031</f>
        <v>1371473.3159999999</v>
      </c>
      <c r="G79">
        <f>_xlfn.XLOOKUP(A79,'2023-2025'!W:W,'2023-2025'!AE:AE)*1.031</f>
        <v>1388222.9419999998</v>
      </c>
      <c r="H79" s="21">
        <f t="shared" si="6"/>
        <v>1.2212870498167194</v>
      </c>
      <c r="I79" s="21" t="str" cm="1">
        <f t="array" ref="I79">_xlfn.IFS(H79&lt;0,"under",H79&gt;0.01,"over",AND(H79&lt;0.01,H79&gt;-0.01),"lige på")</f>
        <v>over</v>
      </c>
      <c r="J79">
        <f>_xlfn.XLOOKUP(A79,'2026'!A:A,'2026'!P:P)</f>
        <v>1397113</v>
      </c>
      <c r="K79">
        <f>_xlfn.XLOOKUP(A79,'2026'!A:A,'2026'!G:G)</f>
        <v>1388850</v>
      </c>
      <c r="L79" s="21">
        <f t="shared" si="7"/>
        <v>-0.59143390692091469</v>
      </c>
      <c r="M79" s="21" t="str" cm="1">
        <f t="array" ref="M79">_xlfn.IFS(L79&lt;-0.01,"under",L79&gt;0.01,"over",AND(L79&lt;0.01,L79&gt;-0.01),"lige på")</f>
        <v>under</v>
      </c>
      <c r="N79" t="str" cm="1">
        <f t="array" ref="N79">IFERROR(_xlfn.IFS(AND(E79="under",I79="under",M79="under"),"Under alle tre år",AND(E79="over",I79="over",M79="over"),"Over alle år"),"")</f>
        <v/>
      </c>
      <c r="O79" s="22">
        <f t="shared" si="8"/>
        <v>0.60856539844637914</v>
      </c>
      <c r="P79">
        <f>SUM(IF(D79&gt;0.01,1),IF(H79&gt;0.01,1),IF(L79&gt;0.01,1))</f>
        <v>2</v>
      </c>
      <c r="Q79">
        <f>SUM(IF(D79&lt;-0.01,1),IF(H79&lt;-0.01,1),IF(L79&lt;-0.01,1))</f>
        <v>1</v>
      </c>
      <c r="R79">
        <f>SUM(IF(E79="lige på",1,0),IF(I79="lige på",1,0),IF(M79="lige på",1,0))</f>
        <v>0</v>
      </c>
      <c r="S79">
        <f t="shared" si="9"/>
        <v>3</v>
      </c>
    </row>
    <row r="80" spans="1:19" x14ac:dyDescent="0.25">
      <c r="A80" t="s">
        <v>46</v>
      </c>
      <c r="B80" s="21">
        <f>_xlfn.XLOOKUP(A80,'2024'!B:B,'2024'!D:D)*1.06915938074864</f>
        <v>1663881.4246088325</v>
      </c>
      <c r="C80" s="21">
        <f>_xlfn.XLOOKUP(A80,'2023-2025'!D:D,'2023-2025'!T:T)*1.06915938074864</f>
        <v>1666717.9044459586</v>
      </c>
      <c r="D80" s="21">
        <f t="shared" si="5"/>
        <v>0.17047367649969025</v>
      </c>
      <c r="E80" s="21" t="str" cm="1">
        <f t="array" ref="E80">_xlfn.IFS(D80&lt;0,"under",D80&gt;0.01,"over",AND(D80&lt;0.01,D80&gt;-0.01),"lige på")</f>
        <v>over</v>
      </c>
      <c r="F80">
        <f>_xlfn.XLOOKUP(A80,'2025'!B:B,'2025'!D:D)*1.031</f>
        <v>1704057.42</v>
      </c>
      <c r="G80">
        <f>_xlfn.XLOOKUP(A80,'2023-2025'!W:W,'2023-2025'!AE:AE)*1.031</f>
        <v>1684726.17</v>
      </c>
      <c r="H80" s="21">
        <f t="shared" si="6"/>
        <v>-1.1344248012487748</v>
      </c>
      <c r="I80" s="21" t="str" cm="1">
        <f t="array" ref="I80">_xlfn.IFS(H80&lt;0,"under",H80&gt;0.01,"over",AND(H80&lt;0.01,H80&gt;-0.01),"lige på")</f>
        <v>under</v>
      </c>
      <c r="J80">
        <f>_xlfn.XLOOKUP(A80,'2026'!A:A,'2026'!P:P)</f>
        <v>1697479</v>
      </c>
      <c r="K80">
        <f>_xlfn.XLOOKUP(A80,'2026'!A:A,'2026'!G:G)</f>
        <v>1688912</v>
      </c>
      <c r="L80" s="21">
        <f t="shared" si="7"/>
        <v>-0.50468960146193265</v>
      </c>
      <c r="M80" s="21" t="str" cm="1">
        <f t="array" ref="M80">_xlfn.IFS(L80&lt;-0.01,"under",L80&gt;0.01,"over",AND(L80&lt;0.01,L80&gt;-0.01),"lige på")</f>
        <v>under</v>
      </c>
      <c r="N80" t="str" cm="1">
        <f t="array" ref="N80">IFERROR(_xlfn.IFS(AND(E80="under",I80="under",M80="under"),"Under alle tre år",AND(E80="over",I80="over",M80="over"),"Over alle år"),"")</f>
        <v/>
      </c>
      <c r="O80" s="22">
        <f t="shared" si="8"/>
        <v>-0.48954690873700574</v>
      </c>
      <c r="P80">
        <f>SUM(IF(D80&gt;0.01,1),IF(H80&gt;0.01,1),IF(L80&gt;0.01,1))</f>
        <v>1</v>
      </c>
      <c r="Q80">
        <f>SUM(IF(D80&lt;-0.01,1),IF(H80&lt;-0.01,1),IF(L80&lt;-0.01,1))</f>
        <v>2</v>
      </c>
      <c r="R80">
        <f>SUM(IF(E80="lige på",1,0),IF(I80="lige på",1,0),IF(M80="lige på",1,0))</f>
        <v>0</v>
      </c>
      <c r="S80">
        <f t="shared" si="9"/>
        <v>3</v>
      </c>
    </row>
    <row r="81" spans="1:19" x14ac:dyDescent="0.25">
      <c r="A81" t="s">
        <v>45</v>
      </c>
      <c r="B81" s="21">
        <f>_xlfn.XLOOKUP(A81,'2024'!B:B,'2024'!D:D)*1.06915938074864</f>
        <v>1263521.8645749353</v>
      </c>
      <c r="C81" s="21">
        <f>_xlfn.XLOOKUP(A81,'2023-2025'!D:D,'2023-2025'!T:T)*1.06915938074864</f>
        <v>1264648.7585622442</v>
      </c>
      <c r="D81" s="21">
        <f t="shared" si="5"/>
        <v>8.9186742145380776E-2</v>
      </c>
      <c r="E81" s="21" t="str" cm="1">
        <f t="array" ref="E81">_xlfn.IFS(D81&lt;0,"under",D81&gt;0.01,"over",AND(D81&lt;0.01,D81&gt;-0.01),"lige på")</f>
        <v>over</v>
      </c>
      <c r="F81">
        <f>_xlfn.XLOOKUP(A81,'2025'!B:B,'2025'!D:D)*1.031</f>
        <v>1293138.9669999999</v>
      </c>
      <c r="G81">
        <f>_xlfn.XLOOKUP(A81,'2023-2025'!W:W,'2023-2025'!AE:AE)*1.031</f>
        <v>1286788.007</v>
      </c>
      <c r="H81" s="21">
        <f t="shared" si="6"/>
        <v>-0.49112741647046532</v>
      </c>
      <c r="I81" s="21" t="str" cm="1">
        <f t="array" ref="I81">_xlfn.IFS(H81&lt;0,"under",H81&gt;0.01,"over",AND(H81&lt;0.01,H81&gt;-0.01),"lige på")</f>
        <v>under</v>
      </c>
      <c r="J81">
        <f>_xlfn.XLOOKUP(A81,'2026'!A:A,'2026'!P:P)</f>
        <v>1296426</v>
      </c>
      <c r="K81">
        <f>_xlfn.XLOOKUP(A81,'2026'!A:A,'2026'!G:G)</f>
        <v>1308691</v>
      </c>
      <c r="L81" s="21">
        <f t="shared" si="7"/>
        <v>0.94606248254817482</v>
      </c>
      <c r="M81" s="21" t="str" cm="1">
        <f t="array" ref="M81">_xlfn.IFS(L81&lt;-0.01,"under",L81&gt;0.01,"over",AND(L81&lt;0.01,L81&gt;-0.01),"lige på")</f>
        <v>over</v>
      </c>
      <c r="N81" t="str" cm="1">
        <f t="array" ref="N81">IFERROR(_xlfn.IFS(AND(E81="under",I81="under",M81="under"),"Under alle tre år",AND(E81="over",I81="over",M81="over"),"Over alle år"),"")</f>
        <v/>
      </c>
      <c r="O81" s="22">
        <f t="shared" si="8"/>
        <v>0.18137393607436345</v>
      </c>
      <c r="P81">
        <f>SUM(IF(D81&gt;0.01,1),IF(H81&gt;0.01,1),IF(L81&gt;0.01,1))</f>
        <v>2</v>
      </c>
      <c r="Q81">
        <f>SUM(IF(D81&lt;-0.01,1),IF(H81&lt;-0.01,1),IF(L81&lt;-0.01,1))</f>
        <v>1</v>
      </c>
      <c r="R81">
        <f>SUM(IF(E81="lige på",1,0),IF(I81="lige på",1,0),IF(M81="lige på",1,0))</f>
        <v>0</v>
      </c>
      <c r="S81">
        <f t="shared" si="9"/>
        <v>3</v>
      </c>
    </row>
    <row r="82" spans="1:19" x14ac:dyDescent="0.25">
      <c r="A82" t="s">
        <v>79</v>
      </c>
      <c r="B82" s="21">
        <f>_xlfn.XLOOKUP(A82,'2024'!B:B,'2024'!D:D)*1.06915938074864</f>
        <v>1183219.4418056663</v>
      </c>
      <c r="C82" s="21">
        <f>_xlfn.XLOOKUP(A82,'2023-2025'!D:D,'2023-2025'!T:T)*1.06915938074864</f>
        <v>1166586.5293193597</v>
      </c>
      <c r="D82" s="21">
        <f t="shared" si="5"/>
        <v>-1.4057335350172888</v>
      </c>
      <c r="E82" s="21" t="str" cm="1">
        <f t="array" ref="E82">_xlfn.IFS(D82&lt;0,"under",D82&gt;0.01,"over",AND(D82&lt;0.01,D82&gt;-0.01),"lige på")</f>
        <v>under</v>
      </c>
      <c r="F82">
        <f>_xlfn.XLOOKUP(A82,'2025'!B:B,'2025'!D:D)*1.031</f>
        <v>1192728.8459999999</v>
      </c>
      <c r="G82">
        <f>_xlfn.XLOOKUP(A82,'2023-2025'!W:W,'2023-2025'!AE:AE)*1.031</f>
        <v>1183419.9469999999</v>
      </c>
      <c r="H82" s="21">
        <f t="shared" si="6"/>
        <v>-0.78047068545535758</v>
      </c>
      <c r="I82" s="21" t="str" cm="1">
        <f t="array" ref="I82">_xlfn.IFS(H82&lt;0,"under",H82&gt;0.01,"over",AND(H82&lt;0.01,H82&gt;-0.01),"lige på")</f>
        <v>under</v>
      </c>
      <c r="J82">
        <f>_xlfn.XLOOKUP(A82,'2026'!A:A,'2026'!P:P)</f>
        <v>1192276</v>
      </c>
      <c r="K82">
        <f>_xlfn.XLOOKUP(A82,'2026'!A:A,'2026'!G:G)</f>
        <v>1169375</v>
      </c>
      <c r="L82" s="21">
        <f t="shared" si="7"/>
        <v>-1.9207800878320123</v>
      </c>
      <c r="M82" s="21" t="str" cm="1">
        <f t="array" ref="M82">_xlfn.IFS(L82&lt;-0.01,"under",L82&gt;0.01,"over",AND(L82&lt;0.01,L82&gt;-0.01),"lige på")</f>
        <v>under</v>
      </c>
      <c r="N82" t="str" cm="1">
        <f t="array" ref="N82">IFERROR(_xlfn.IFS(AND(E82="under",I82="under",M82="under"),"Under alle tre år",AND(E82="over",I82="over",M82="over"),"Over alle år"),"")</f>
        <v>Under alle tre år</v>
      </c>
      <c r="O82" s="22">
        <f t="shared" si="8"/>
        <v>-1.3689947694348863</v>
      </c>
      <c r="P82">
        <f>SUM(IF(D82&gt;0.01,1),IF(H82&gt;0.01,1),IF(L82&gt;0.01,1))</f>
        <v>0</v>
      </c>
      <c r="Q82">
        <f>SUM(IF(D82&lt;-0.01,1),IF(H82&lt;-0.01,1),IF(L82&lt;-0.01,1))</f>
        <v>3</v>
      </c>
      <c r="R82">
        <f>SUM(IF(E82="lige på",1,0),IF(I82="lige på",1,0),IF(M82="lige på",1,0))</f>
        <v>0</v>
      </c>
      <c r="S82">
        <f t="shared" si="9"/>
        <v>3</v>
      </c>
    </row>
    <row r="83" spans="1:19" x14ac:dyDescent="0.25">
      <c r="A83" t="s">
        <v>59</v>
      </c>
      <c r="B83" s="21">
        <f>_xlfn.XLOOKUP(A83,'2024'!B:B,'2024'!D:D)*1.06915938074864</f>
        <v>3259140.9926830749</v>
      </c>
      <c r="C83" s="21">
        <f>_xlfn.XLOOKUP(A83,'2023-2025'!D:D,'2023-2025'!T:T)*1.06915938074864</f>
        <v>3294997.3908352419</v>
      </c>
      <c r="D83" s="21">
        <f t="shared" si="5"/>
        <v>1.100179410239271</v>
      </c>
      <c r="E83" s="21" t="str" cm="1">
        <f t="array" ref="E83">_xlfn.IFS(D83&lt;0,"under",D83&gt;0.01,"over",AND(D83&lt;0.01,D83&gt;-0.01),"lige på")</f>
        <v>over</v>
      </c>
      <c r="F83">
        <f>_xlfn.XLOOKUP(A83,'2025'!B:B,'2025'!D:D)*1.031</f>
        <v>3368413.0919999997</v>
      </c>
      <c r="G83">
        <f>_xlfn.XLOOKUP(A83,'2023-2025'!W:W,'2023-2025'!AE:AE)*1.031</f>
        <v>3368798.6859999998</v>
      </c>
      <c r="H83" s="21">
        <f t="shared" si="6"/>
        <v>1.1447348928664032E-2</v>
      </c>
      <c r="I83" s="21" t="str" cm="1">
        <f t="array" ref="I83">_xlfn.IFS(H83&lt;0,"under",H83&gt;0.01,"over",AND(H83&lt;0.01,H83&gt;-0.01),"lige på")</f>
        <v>over</v>
      </c>
      <c r="J83">
        <f>_xlfn.XLOOKUP(A83,'2026'!A:A,'2026'!P:P)</f>
        <v>3393872</v>
      </c>
      <c r="K83">
        <f>_xlfn.XLOOKUP(A83,'2026'!A:A,'2026'!G:G)</f>
        <v>3395051</v>
      </c>
      <c r="L83" s="21">
        <f t="shared" si="7"/>
        <v>3.4739082676070281E-2</v>
      </c>
      <c r="M83" s="21" t="str" cm="1">
        <f t="array" ref="M83">_xlfn.IFS(L83&lt;-0.01,"under",L83&gt;0.01,"over",AND(L83&lt;0.01,L83&gt;-0.01),"lige på")</f>
        <v>over</v>
      </c>
      <c r="N83" t="str" cm="1">
        <f t="array" ref="N83">IFERROR(_xlfn.IFS(AND(E83="under",I83="under",M83="under"),"Under alle tre år",AND(E83="over",I83="over",M83="over"),"Over alle år"),"")</f>
        <v>Over alle år</v>
      </c>
      <c r="O83" s="22">
        <f t="shared" si="8"/>
        <v>0.38212194728133508</v>
      </c>
      <c r="P83">
        <f>SUM(IF(D83&gt;0.01,1),IF(H83&gt;0.01,1),IF(L83&gt;0.01,1))</f>
        <v>3</v>
      </c>
      <c r="Q83">
        <f>SUM(IF(D83&lt;-0.01,1),IF(H83&lt;-0.01,1),IF(L83&lt;-0.01,1))</f>
        <v>0</v>
      </c>
      <c r="R83">
        <f>SUM(IF(E83="lige på",1,0),IF(I83="lige på",1,0),IF(M83="lige på",1,0))</f>
        <v>0</v>
      </c>
      <c r="S83">
        <f t="shared" si="9"/>
        <v>3</v>
      </c>
    </row>
    <row r="84" spans="1:19" x14ac:dyDescent="0.25">
      <c r="A84" t="s">
        <v>80</v>
      </c>
      <c r="B84" s="21">
        <f>_xlfn.XLOOKUP(A84,'2024'!B:B,'2024'!D:D)*1.06915938074864</f>
        <v>2314690.5004237178</v>
      </c>
      <c r="C84" s="21">
        <f>_xlfn.XLOOKUP(A84,'2023-2025'!D:D,'2023-2025'!T:T)*1.06915938074864</f>
        <v>2361459.8083751863</v>
      </c>
      <c r="D84" s="21">
        <f t="shared" si="5"/>
        <v>2.0205426143541483</v>
      </c>
      <c r="E84" s="21" t="str" cm="1">
        <f t="array" ref="E84">_xlfn.IFS(D84&lt;0,"under",D84&gt;0.01,"over",AND(D84&lt;0.01,D84&gt;-0.01),"lige på")</f>
        <v>over</v>
      </c>
      <c r="F84">
        <f>_xlfn.XLOOKUP(A84,'2025'!B:B,'2025'!D:D)*1.031</f>
        <v>2413390.5749999997</v>
      </c>
      <c r="G84">
        <f>_xlfn.XLOOKUP(A84,'2023-2025'!W:W,'2023-2025'!AE:AE)*1.031</f>
        <v>2403088.8229999999</v>
      </c>
      <c r="H84" s="21">
        <f t="shared" si="6"/>
        <v>-0.42685805218245132</v>
      </c>
      <c r="I84" s="21" t="str" cm="1">
        <f t="array" ref="I84">_xlfn.IFS(H84&lt;0,"under",H84&gt;0.01,"over",AND(H84&lt;0.01,H84&gt;-0.01),"lige på")</f>
        <v>under</v>
      </c>
      <c r="J84">
        <f>_xlfn.XLOOKUP(A84,'2026'!A:A,'2026'!P:P)</f>
        <v>2420456</v>
      </c>
      <c r="K84">
        <f>_xlfn.XLOOKUP(A84,'2026'!A:A,'2026'!G:G)</f>
        <v>2420453</v>
      </c>
      <c r="L84" s="21">
        <f t="shared" si="7"/>
        <v>-1.2394358748929953E-4</v>
      </c>
      <c r="M84" s="21" t="str" cm="1">
        <f t="array" ref="M84">_xlfn.IFS(L84&lt;-0.01,"under",L84&gt;0.01,"over",AND(L84&lt;0.01,L84&gt;-0.01),"lige på")</f>
        <v>lige på</v>
      </c>
      <c r="N84" t="str" cm="1">
        <f t="array" ref="N84">IFERROR(_xlfn.IFS(AND(E84="under",I84="under",M84="under"),"Under alle tre år",AND(E84="over",I84="over",M84="over"),"Over alle år"),"")</f>
        <v/>
      </c>
      <c r="O84" s="22">
        <f t="shared" si="8"/>
        <v>0.53118687286140254</v>
      </c>
      <c r="P84">
        <f>SUM(IF(D84&gt;0.01,1),IF(H84&gt;0.01,1),IF(L84&gt;0.01,1))</f>
        <v>1</v>
      </c>
      <c r="Q84">
        <f>SUM(IF(D84&lt;-0.01,1),IF(H84&lt;-0.01,1),IF(L84&lt;-0.01,1))</f>
        <v>1</v>
      </c>
      <c r="R84">
        <f>SUM(IF(E84="lige på",1,0),IF(I84="lige på",1,0),IF(M84="lige på",1,0))</f>
        <v>1</v>
      </c>
      <c r="S84">
        <f t="shared" si="9"/>
        <v>3</v>
      </c>
    </row>
    <row r="85" spans="1:19" x14ac:dyDescent="0.25">
      <c r="A85" t="s">
        <v>65</v>
      </c>
      <c r="B85" s="21">
        <f>_xlfn.XLOOKUP(A85,'2024'!B:B,'2024'!D:D)*1.06915938074864</f>
        <v>4228191.773134077</v>
      </c>
      <c r="C85" s="21">
        <f>_xlfn.XLOOKUP(A85,'2023-2025'!D:D,'2023-2025'!T:T)*1.06915938074864</f>
        <v>4239275.7484342987</v>
      </c>
      <c r="D85" s="21">
        <f t="shared" si="5"/>
        <v>0.26214457373124045</v>
      </c>
      <c r="E85" s="21" t="str" cm="1">
        <f t="array" ref="E85">_xlfn.IFS(D85&lt;0,"under",D85&gt;0.01,"over",AND(D85&lt;0.01,D85&gt;-0.01),"lige på")</f>
        <v>over</v>
      </c>
      <c r="F85">
        <f>_xlfn.XLOOKUP(A85,'2025'!B:B,'2025'!D:D)*1.031</f>
        <v>4334467.3089999994</v>
      </c>
      <c r="G85">
        <f>_xlfn.XLOOKUP(A85,'2023-2025'!W:W,'2023-2025'!AE:AE)*1.031</f>
        <v>4304249.7299999995</v>
      </c>
      <c r="H85" s="21">
        <f t="shared" si="6"/>
        <v>-0.69714631224133927</v>
      </c>
      <c r="I85" s="21" t="str" cm="1">
        <f t="array" ref="I85">_xlfn.IFS(H85&lt;0,"under",H85&gt;0.01,"over",AND(H85&lt;0.01,H85&gt;-0.01),"lige på")</f>
        <v>under</v>
      </c>
      <c r="J85">
        <f>_xlfn.XLOOKUP(A85,'2026'!A:A,'2026'!P:P)</f>
        <v>4336858</v>
      </c>
      <c r="K85">
        <f>_xlfn.XLOOKUP(A85,'2026'!A:A,'2026'!G:G)</f>
        <v>4326049</v>
      </c>
      <c r="L85" s="21">
        <f t="shared" si="7"/>
        <v>-0.24923573702436189</v>
      </c>
      <c r="M85" s="21" t="str" cm="1">
        <f t="array" ref="M85">_xlfn.IFS(L85&lt;-0.01,"under",L85&gt;0.01,"over",AND(L85&lt;0.01,L85&gt;-0.01),"lige på")</f>
        <v>under</v>
      </c>
      <c r="N85" t="str" cm="1">
        <f t="array" ref="N85">IFERROR(_xlfn.IFS(AND(E85="under",I85="under",M85="under"),"Under alle tre år",AND(E85="over",I85="over",M85="over"),"Over alle år"),"")</f>
        <v/>
      </c>
      <c r="O85" s="22">
        <f t="shared" si="8"/>
        <v>-0.22807915851148688</v>
      </c>
      <c r="P85">
        <f>SUM(IF(D85&gt;0.01,1),IF(H85&gt;0.01,1),IF(L85&gt;0.01,1))</f>
        <v>1</v>
      </c>
      <c r="Q85">
        <f>SUM(IF(D85&lt;-0.01,1),IF(H85&lt;-0.01,1),IF(L85&lt;-0.01,1))</f>
        <v>2</v>
      </c>
      <c r="R85">
        <f>SUM(IF(E85="lige på",1,0),IF(I85="lige på",1,0),IF(M85="lige på",1,0))</f>
        <v>0</v>
      </c>
      <c r="S85">
        <f t="shared" si="9"/>
        <v>3</v>
      </c>
    </row>
    <row r="86" spans="1:19" x14ac:dyDescent="0.25">
      <c r="A86" t="s">
        <v>94</v>
      </c>
      <c r="B86" s="21">
        <f>_xlfn.XLOOKUP(A86,'2024'!B:B,'2024'!D:D)*1.06915938074864</f>
        <v>2412373.1780864364</v>
      </c>
      <c r="C86" s="21">
        <f>_xlfn.XLOOKUP(A86,'2023-2025'!D:D,'2023-2025'!T:T)*1.06915938074864</f>
        <v>2415240.6635456043</v>
      </c>
      <c r="D86" s="21">
        <f t="shared" si="5"/>
        <v>0.11886574951237634</v>
      </c>
      <c r="E86" s="21" t="str" cm="1">
        <f t="array" ref="E86">_xlfn.IFS(D86&lt;0,"under",D86&gt;0.01,"over",AND(D86&lt;0.01,D86&gt;-0.01),"lige på")</f>
        <v>over</v>
      </c>
      <c r="F86">
        <f>_xlfn.XLOOKUP(A86,'2025'!B:B,'2025'!D:D)*1.031</f>
        <v>2469177.9849999999</v>
      </c>
      <c r="G86">
        <f>_xlfn.XLOOKUP(A86,'2023-2025'!W:W,'2023-2025'!AE:AE)*1.031</f>
        <v>2411439.923</v>
      </c>
      <c r="H86" s="21">
        <f t="shared" si="6"/>
        <v>-2.3383515627772749</v>
      </c>
      <c r="I86" s="21" t="str" cm="1">
        <f t="array" ref="I86">_xlfn.IFS(H86&lt;0,"under",H86&gt;0.01,"over",AND(H86&lt;0.01,H86&gt;-0.01),"lige på")</f>
        <v>under</v>
      </c>
      <c r="J86">
        <f>_xlfn.XLOOKUP(A86,'2026'!A:A,'2026'!P:P)</f>
        <v>2429747</v>
      </c>
      <c r="K86">
        <f>_xlfn.XLOOKUP(A86,'2026'!A:A,'2026'!G:G)</f>
        <v>2417955</v>
      </c>
      <c r="L86" s="21">
        <f t="shared" si="7"/>
        <v>-0.48531801870729757</v>
      </c>
      <c r="M86" s="21" t="str" cm="1">
        <f t="array" ref="M86">_xlfn.IFS(L86&lt;-0.01,"under",L86&gt;0.01,"over",AND(L86&lt;0.01,L86&gt;-0.01),"lige på")</f>
        <v>under</v>
      </c>
      <c r="N86" t="str" cm="1">
        <f t="array" ref="N86">IFERROR(_xlfn.IFS(AND(E86="under",I86="under",M86="under"),"Under alle tre år",AND(E86="over",I86="over",M86="over"),"Over alle år"),"")</f>
        <v/>
      </c>
      <c r="O86" s="22">
        <f t="shared" si="8"/>
        <v>-0.90160127732406536</v>
      </c>
      <c r="P86">
        <f>SUM(IF(D86&gt;0.01,1),IF(H86&gt;0.01,1),IF(L86&gt;0.01,1))</f>
        <v>1</v>
      </c>
      <c r="Q86">
        <f>SUM(IF(D86&lt;-0.01,1),IF(H86&lt;-0.01,1),IF(L86&lt;-0.01,1))</f>
        <v>2</v>
      </c>
      <c r="R86">
        <f>SUM(IF(E86="lige på",1,0),IF(I86="lige på",1,0),IF(M86="lige på",1,0))</f>
        <v>0</v>
      </c>
      <c r="S86">
        <f t="shared" si="9"/>
        <v>3</v>
      </c>
    </row>
    <row r="87" spans="1:19" x14ac:dyDescent="0.25">
      <c r="A87" t="s">
        <v>66</v>
      </c>
      <c r="B87" s="21">
        <f>_xlfn.XLOOKUP(A87,'2024'!B:B,'2024'!D:D)*1.06915938074864</f>
        <v>2154255.6512267189</v>
      </c>
      <c r="C87" s="21">
        <f>_xlfn.XLOOKUP(A87,'2023-2025'!D:D,'2023-2025'!T:T)*1.06915938074864</f>
        <v>2161087.5796697028</v>
      </c>
      <c r="D87" s="21">
        <f t="shared" si="5"/>
        <v>0.31713638254092619</v>
      </c>
      <c r="E87" s="21" t="str" cm="1">
        <f t="array" ref="E87">_xlfn.IFS(D87&lt;0,"under",D87&gt;0.01,"over",AND(D87&lt;0.01,D87&gt;-0.01),"lige på")</f>
        <v>over</v>
      </c>
      <c r="F87">
        <f>_xlfn.XLOOKUP(A87,'2025'!B:B,'2025'!D:D)*1.031</f>
        <v>2209523.7279999997</v>
      </c>
      <c r="G87">
        <f>_xlfn.XLOOKUP(A87,'2023-2025'!W:W,'2023-2025'!AE:AE)*1.031</f>
        <v>2208027.747</v>
      </c>
      <c r="H87" s="21">
        <f t="shared" si="6"/>
        <v>-6.7706039136035928E-2</v>
      </c>
      <c r="I87" s="21" t="str" cm="1">
        <f t="array" ref="I87">_xlfn.IFS(H87&lt;0,"under",H87&gt;0.01,"over",AND(H87&lt;0.01,H87&gt;-0.01),"lige på")</f>
        <v>under</v>
      </c>
      <c r="J87">
        <f>_xlfn.XLOOKUP(A87,'2026'!A:A,'2026'!P:P)</f>
        <v>2224385</v>
      </c>
      <c r="K87">
        <f>_xlfn.XLOOKUP(A87,'2026'!A:A,'2026'!G:G)</f>
        <v>2202413</v>
      </c>
      <c r="L87" s="21">
        <f t="shared" si="7"/>
        <v>-0.9877786444343043</v>
      </c>
      <c r="M87" s="21" t="str" cm="1">
        <f t="array" ref="M87">_xlfn.IFS(L87&lt;-0.01,"under",L87&gt;0.01,"over",AND(L87&lt;0.01,L87&gt;-0.01),"lige på")</f>
        <v>under</v>
      </c>
      <c r="N87" t="str" cm="1">
        <f t="array" ref="N87">IFERROR(_xlfn.IFS(AND(E87="under",I87="under",M87="under"),"Under alle tre år",AND(E87="over",I87="over",M87="over"),"Over alle år"),"")</f>
        <v/>
      </c>
      <c r="O87" s="22">
        <f t="shared" si="8"/>
        <v>-0.24611610034313802</v>
      </c>
      <c r="P87">
        <f>SUM(IF(D87&gt;0.01,1),IF(H87&gt;0.01,1),IF(L87&gt;0.01,1))</f>
        <v>1</v>
      </c>
      <c r="Q87">
        <f>SUM(IF(D87&lt;-0.01,1),IF(H87&lt;-0.01,1),IF(L87&lt;-0.01,1))</f>
        <v>2</v>
      </c>
      <c r="R87">
        <f>SUM(IF(E87="lige på",1,0),IF(I87="lige på",1,0),IF(M87="lige på",1,0))</f>
        <v>0</v>
      </c>
      <c r="S87">
        <f t="shared" si="9"/>
        <v>3</v>
      </c>
    </row>
    <row r="88" spans="1:19" x14ac:dyDescent="0.25">
      <c r="A88" t="s">
        <v>22</v>
      </c>
      <c r="B88" s="21">
        <f>_xlfn.XLOOKUP(A88,'2024'!B:B,'2024'!D:D)*1.06915938074864</f>
        <v>2487412.1292242799</v>
      </c>
      <c r="C88" s="21">
        <f>_xlfn.XLOOKUP(A88,'2023-2025'!D:D,'2023-2025'!T:T)*1.06915938074864</f>
        <v>2503938.1257725116</v>
      </c>
      <c r="D88" s="21">
        <f t="shared" si="5"/>
        <v>0.66438513964251911</v>
      </c>
      <c r="E88" s="21" t="str" cm="1">
        <f t="array" ref="E88">_xlfn.IFS(D88&lt;0,"under",D88&gt;0.01,"over",AND(D88&lt;0.01,D88&gt;-0.01),"lige på")</f>
        <v>over</v>
      </c>
      <c r="F88">
        <f>_xlfn.XLOOKUP(A88,'2025'!B:B,'2025'!D:D)*1.031</f>
        <v>2558567.747</v>
      </c>
      <c r="G88">
        <f>_xlfn.XLOOKUP(A88,'2023-2025'!W:W,'2023-2025'!AE:AE)*1.031</f>
        <v>2558214.1139999996</v>
      </c>
      <c r="H88" s="21">
        <f t="shared" si="6"/>
        <v>-1.3821521842250441E-2</v>
      </c>
      <c r="I88" s="21" t="str" cm="1">
        <f t="array" ref="I88">_xlfn.IFS(H88&lt;0,"under",H88&gt;0.01,"over",AND(H88&lt;0.01,H88&gt;-0.01),"lige på")</f>
        <v>under</v>
      </c>
      <c r="J88">
        <f>_xlfn.XLOOKUP(A88,'2026'!A:A,'2026'!P:P)</f>
        <v>2576722</v>
      </c>
      <c r="K88">
        <f>_xlfn.XLOOKUP(A88,'2026'!A:A,'2026'!G:G)</f>
        <v>2575688</v>
      </c>
      <c r="L88" s="21">
        <f t="shared" si="7"/>
        <v>-4.0128504355533889E-2</v>
      </c>
      <c r="M88" s="21" t="str" cm="1">
        <f t="array" ref="M88">_xlfn.IFS(L88&lt;-0.01,"under",L88&gt;0.01,"over",AND(L88&lt;0.01,L88&gt;-0.01),"lige på")</f>
        <v>under</v>
      </c>
      <c r="N88" t="str" cm="1">
        <f t="array" ref="N88">IFERROR(_xlfn.IFS(AND(E88="under",I88="under",M88="under"),"Under alle tre år",AND(E88="over",I88="over",M88="over"),"Over alle år"),"")</f>
        <v/>
      </c>
      <c r="O88" s="22">
        <f t="shared" si="8"/>
        <v>0.20347837114824494</v>
      </c>
      <c r="P88">
        <f>SUM(IF(D88&gt;0.01,1),IF(H88&gt;0.01,1),IF(L88&gt;0.01,1))</f>
        <v>1</v>
      </c>
      <c r="Q88">
        <f>SUM(IF(D88&lt;-0.01,1),IF(H88&lt;-0.01,1),IF(L88&lt;-0.01,1))</f>
        <v>2</v>
      </c>
      <c r="R88">
        <f>SUM(IF(E88="lige på",1,0),IF(I88="lige på",1,0),IF(M88="lige på",1,0))</f>
        <v>0</v>
      </c>
      <c r="S88">
        <f t="shared" si="9"/>
        <v>3</v>
      </c>
    </row>
    <row r="89" spans="1:19" x14ac:dyDescent="0.25">
      <c r="A89" t="s">
        <v>23</v>
      </c>
      <c r="B89" s="21">
        <f>_xlfn.XLOOKUP(A89,'2024'!B:B,'2024'!D:D)*1.06915938074864</f>
        <v>1001479.4536284895</v>
      </c>
      <c r="C89" s="21">
        <f>_xlfn.XLOOKUP(A89,'2023-2025'!D:D,'2023-2025'!T:T)*1.06915938074864</f>
        <v>1042975.6675141057</v>
      </c>
      <c r="D89" s="21">
        <f t="shared" si="5"/>
        <v>4.143491285344898</v>
      </c>
      <c r="E89" s="21" t="str" cm="1">
        <f t="array" ref="E89">_xlfn.IFS(D89&lt;0,"under",D89&gt;0.01,"over",AND(D89&lt;0.01,D89&gt;-0.01),"lige på")</f>
        <v>over</v>
      </c>
      <c r="F89">
        <f>_xlfn.XLOOKUP(A89,'2025'!B:B,'2025'!D:D)*1.031</f>
        <v>1063794.048</v>
      </c>
      <c r="G89">
        <f>_xlfn.XLOOKUP(A89,'2023-2025'!W:W,'2023-2025'!AE:AE)*1.031</f>
        <v>1069571.7719999999</v>
      </c>
      <c r="H89" s="21">
        <f t="shared" si="6"/>
        <v>0.54312430219575081</v>
      </c>
      <c r="I89" s="21" t="str" cm="1">
        <f t="array" ref="I89">_xlfn.IFS(H89&lt;0,"under",H89&gt;0.01,"over",AND(H89&lt;0.01,H89&gt;-0.01),"lige på")</f>
        <v>over</v>
      </c>
      <c r="J89">
        <f>_xlfn.XLOOKUP(A89,'2026'!A:A,'2026'!P:P)</f>
        <v>1076318</v>
      </c>
      <c r="K89">
        <f>_xlfn.XLOOKUP(A89,'2026'!A:A,'2026'!G:G)</f>
        <v>1127113</v>
      </c>
      <c r="L89" s="21">
        <f t="shared" si="7"/>
        <v>4.7193301607889122</v>
      </c>
      <c r="M89" s="21" t="str" cm="1">
        <f t="array" ref="M89">_xlfn.IFS(L89&lt;-0.01,"under",L89&gt;0.01,"over",AND(L89&lt;0.01,L89&gt;-0.01),"lige på")</f>
        <v>over</v>
      </c>
      <c r="N89" t="str" cm="1">
        <f t="array" ref="N89">IFERROR(_xlfn.IFS(AND(E89="under",I89="under",M89="under"),"Under alle tre år",AND(E89="over",I89="over",M89="over"),"Over alle år"),"")</f>
        <v>Over alle år</v>
      </c>
      <c r="O89" s="22">
        <f t="shared" si="8"/>
        <v>3.1353152494431868</v>
      </c>
      <c r="P89">
        <f>SUM(IF(D89&gt;0.01,1),IF(H89&gt;0.01,1),IF(L89&gt;0.01,1))</f>
        <v>3</v>
      </c>
      <c r="Q89">
        <f>SUM(IF(D89&lt;-0.01,1),IF(H89&lt;-0.01,1),IF(L89&lt;-0.01,1))</f>
        <v>0</v>
      </c>
      <c r="R89">
        <f>SUM(IF(E89="lige på",1,0),IF(I89="lige på",1,0),IF(M89="lige på",1,0))</f>
        <v>0</v>
      </c>
      <c r="S89">
        <f t="shared" si="9"/>
        <v>3</v>
      </c>
    </row>
    <row r="90" spans="1:19" x14ac:dyDescent="0.25">
      <c r="A90" t="s">
        <v>69</v>
      </c>
      <c r="B90" s="21">
        <f>_xlfn.XLOOKUP(A90,'2024'!B:B,'2024'!D:D)*1.06915938074864</f>
        <v>2709106.6034600334</v>
      </c>
      <c r="C90" s="21">
        <f>_xlfn.XLOOKUP(A90,'2023-2025'!D:D,'2023-2025'!T:T)*1.06915938074864</f>
        <v>2700750.0537401019</v>
      </c>
      <c r="D90" s="21">
        <f t="shared" si="5"/>
        <v>-0.30846145770929384</v>
      </c>
      <c r="E90" s="21" t="str" cm="1">
        <f t="array" ref="E90">_xlfn.IFS(D90&lt;0,"under",D90&gt;0.01,"over",AND(D90&lt;0.01,D90&gt;-0.01),"lige på")</f>
        <v>under</v>
      </c>
      <c r="F90">
        <f>_xlfn.XLOOKUP(A90,'2025'!B:B,'2025'!D:D)*1.031</f>
        <v>2761805.6839999999</v>
      </c>
      <c r="G90">
        <f>_xlfn.XLOOKUP(A90,'2023-2025'!W:W,'2023-2025'!AE:AE)*1.031</f>
        <v>2808337.8069999996</v>
      </c>
      <c r="H90" s="21">
        <f t="shared" si="6"/>
        <v>1.6848442042673293</v>
      </c>
      <c r="I90" s="21" t="str" cm="1">
        <f t="array" ref="I90">_xlfn.IFS(H90&lt;0,"under",H90&gt;0.01,"over",AND(H90&lt;0.01,H90&gt;-0.01),"lige på")</f>
        <v>over</v>
      </c>
      <c r="J90">
        <f>_xlfn.XLOOKUP(A90,'2026'!A:A,'2026'!P:P)</f>
        <v>2829190</v>
      </c>
      <c r="K90">
        <f>_xlfn.XLOOKUP(A90,'2026'!A:A,'2026'!G:G)</f>
        <v>2807731</v>
      </c>
      <c r="L90" s="21">
        <f t="shared" si="7"/>
        <v>-0.75848564430101906</v>
      </c>
      <c r="M90" s="21" t="str" cm="1">
        <f t="array" ref="M90">_xlfn.IFS(L90&lt;-0.01,"under",L90&gt;0.01,"over",AND(L90&lt;0.01,L90&gt;-0.01),"lige på")</f>
        <v>under</v>
      </c>
      <c r="N90" t="str" cm="1">
        <f t="array" ref="N90">IFERROR(_xlfn.IFS(AND(E90="under",I90="under",M90="under"),"Under alle tre år",AND(E90="over",I90="over",M90="over"),"Over alle år"),"")</f>
        <v/>
      </c>
      <c r="O90" s="22">
        <f t="shared" si="8"/>
        <v>0.20596570075233878</v>
      </c>
      <c r="P90">
        <f>SUM(IF(D90&gt;0.01,1),IF(H90&gt;0.01,1),IF(L90&gt;0.01,1))</f>
        <v>1</v>
      </c>
      <c r="Q90">
        <f>SUM(IF(D90&lt;-0.01,1),IF(H90&lt;-0.01,1),IF(L90&lt;-0.01,1))</f>
        <v>2</v>
      </c>
      <c r="R90">
        <f>SUM(IF(E90="lige på",1,0),IF(I90="lige på",1,0),IF(M90="lige på",1,0))</f>
        <v>0</v>
      </c>
      <c r="S90">
        <f t="shared" si="9"/>
        <v>3</v>
      </c>
    </row>
    <row r="91" spans="1:19" x14ac:dyDescent="0.25">
      <c r="A91" t="s">
        <v>70</v>
      </c>
      <c r="B91" s="21">
        <f>_xlfn.XLOOKUP(A91,'2024'!B:B,'2024'!D:D)*1.06915938074864</f>
        <v>2347186.5306421919</v>
      </c>
      <c r="C91" s="21">
        <f>_xlfn.XLOOKUP(A91,'2023-2025'!D:D,'2023-2025'!T:T)*1.06915938074864</f>
        <v>2367078.2409210205</v>
      </c>
      <c r="D91" s="21">
        <f t="shared" si="5"/>
        <v>0.84747036586760927</v>
      </c>
      <c r="E91" s="21" t="str" cm="1">
        <f t="array" ref="E91">_xlfn.IFS(D91&lt;0,"under",D91&gt;0.01,"over",AND(D91&lt;0.01,D91&gt;-0.01),"lige på")</f>
        <v>over</v>
      </c>
      <c r="F91">
        <f>_xlfn.XLOOKUP(A91,'2025'!B:B,'2025'!D:D)*1.031</f>
        <v>2419736.38</v>
      </c>
      <c r="G91">
        <f>_xlfn.XLOOKUP(A91,'2023-2025'!W:W,'2023-2025'!AE:AE)*1.031</f>
        <v>2396361.548</v>
      </c>
      <c r="H91" s="21">
        <f t="shared" si="6"/>
        <v>-0.96600737969645845</v>
      </c>
      <c r="I91" s="21" t="str" cm="1">
        <f t="array" ref="I91">_xlfn.IFS(H91&lt;0,"under",H91&gt;0.01,"over",AND(H91&lt;0.01,H91&gt;-0.01),"lige på")</f>
        <v>under</v>
      </c>
      <c r="J91">
        <f>_xlfn.XLOOKUP(A91,'2026'!A:A,'2026'!P:P)</f>
        <v>2414244</v>
      </c>
      <c r="K91">
        <f>_xlfn.XLOOKUP(A91,'2026'!A:A,'2026'!G:G)</f>
        <v>2423966</v>
      </c>
      <c r="L91" s="21">
        <f t="shared" si="7"/>
        <v>0.40269334831110692</v>
      </c>
      <c r="M91" s="21" t="str" cm="1">
        <f t="array" ref="M91">_xlfn.IFS(L91&lt;-0.01,"under",L91&gt;0.01,"over",AND(L91&lt;0.01,L91&gt;-0.01),"lige på")</f>
        <v>over</v>
      </c>
      <c r="N91" t="str" cm="1">
        <f t="array" ref="N91">IFERROR(_xlfn.IFS(AND(E91="under",I91="under",M91="under"),"Under alle tre år",AND(E91="over",I91="over",M91="over"),"Over alle år"),"")</f>
        <v/>
      </c>
      <c r="O91" s="22">
        <f t="shared" si="8"/>
        <v>9.4718778160752581E-2</v>
      </c>
      <c r="P91">
        <f>SUM(IF(D91&gt;0.01,1),IF(H91&gt;0.01,1),IF(L91&gt;0.01,1))</f>
        <v>2</v>
      </c>
      <c r="Q91">
        <f>SUM(IF(D91&lt;-0.01,1),IF(H91&lt;-0.01,1),IF(L91&lt;-0.01,1))</f>
        <v>1</v>
      </c>
      <c r="R91">
        <f>SUM(IF(E91="lige på",1,0),IF(I91="lige på",1,0),IF(M91="lige på",1,0))</f>
        <v>0</v>
      </c>
      <c r="S91">
        <f t="shared" si="9"/>
        <v>3</v>
      </c>
    </row>
    <row r="92" spans="1:19" x14ac:dyDescent="0.25">
      <c r="A92" t="s">
        <v>75</v>
      </c>
      <c r="B92" s="21">
        <f>_xlfn.XLOOKUP(A92,'2024'!B:B,'2024'!D:D)*1.06915938074864</f>
        <v>5783484.0252371738</v>
      </c>
      <c r="C92" s="21">
        <f>_xlfn.XLOOKUP(A92,'2023-2025'!D:D,'2023-2025'!T:T)*1.06915938074864</f>
        <v>5888687.169984079</v>
      </c>
      <c r="D92" s="21">
        <f t="shared" si="5"/>
        <v>1.8190271519353065</v>
      </c>
      <c r="E92" s="21" t="str" cm="1">
        <f t="array" ref="E92">_xlfn.IFS(D92&lt;0,"under",D92&gt;0.01,"over",AND(D92&lt;0.01,D92&gt;-0.01),"lige på")</f>
        <v>over</v>
      </c>
      <c r="F92">
        <f>_xlfn.XLOOKUP(A92,'2025'!B:B,'2025'!D:D)*1.031</f>
        <v>6029585.9589999998</v>
      </c>
      <c r="G92">
        <f>_xlfn.XLOOKUP(A92,'2023-2025'!W:W,'2023-2025'!AE:AE)*1.031</f>
        <v>6060710.818</v>
      </c>
      <c r="H92" s="21">
        <f t="shared" si="6"/>
        <v>0.51620226018242543</v>
      </c>
      <c r="I92" s="21" t="str" cm="1">
        <f t="array" ref="I92">_xlfn.IFS(H92&lt;0,"under",H92&gt;0.01,"over",AND(H92&lt;0.01,H92&gt;-0.01),"lige på")</f>
        <v>over</v>
      </c>
      <c r="J92">
        <f>_xlfn.XLOOKUP(A92,'2026'!A:A,'2026'!P:P)</f>
        <v>6112149</v>
      </c>
      <c r="K92">
        <f>_xlfn.XLOOKUP(A92,'2026'!A:A,'2026'!G:G)</f>
        <v>6164543</v>
      </c>
      <c r="L92" s="21">
        <f t="shared" si="7"/>
        <v>0.8572107780749455</v>
      </c>
      <c r="M92" s="21" t="str" cm="1">
        <f t="array" ref="M92">_xlfn.IFS(L92&lt;-0.01,"under",L92&gt;0.01,"over",AND(L92&lt;0.01,L92&gt;-0.01),"lige på")</f>
        <v>over</v>
      </c>
      <c r="N92" t="str" cm="1">
        <f t="array" ref="N92">IFERROR(_xlfn.IFS(AND(E92="under",I92="under",M92="under"),"Under alle tre år",AND(E92="over",I92="over",M92="over"),"Over alle år"),"")</f>
        <v>Over alle år</v>
      </c>
      <c r="O92" s="22">
        <f t="shared" si="8"/>
        <v>1.0641467300642258</v>
      </c>
      <c r="P92">
        <f>SUM(IF(D92&gt;0.01,1),IF(H92&gt;0.01,1),IF(L92&gt;0.01,1))</f>
        <v>3</v>
      </c>
      <c r="Q92">
        <f>SUM(IF(D92&lt;-0.01,1),IF(H92&lt;-0.01,1),IF(L92&lt;-0.01,1))</f>
        <v>0</v>
      </c>
      <c r="R92">
        <f>SUM(IF(E92="lige på",1,0),IF(I92="lige på",1,0),IF(M92="lige på",1,0))</f>
        <v>0</v>
      </c>
      <c r="S92">
        <f t="shared" si="9"/>
        <v>3</v>
      </c>
    </row>
    <row r="93" spans="1:19" x14ac:dyDescent="0.25">
      <c r="A93" t="s">
        <v>98</v>
      </c>
      <c r="B93" s="21">
        <f>_xlfn.XLOOKUP(A93,'2024'!B:B,'2024'!D:D)*1.06915938074864</f>
        <v>2156538.3065046174</v>
      </c>
      <c r="C93" s="21">
        <f>_xlfn.XLOOKUP(A93,'2023-2025'!D:D,'2023-2025'!T:T)*1.06915938074864</f>
        <v>2177696.9706496331</v>
      </c>
      <c r="D93" s="21">
        <f t="shared" si="5"/>
        <v>0.98114019496877147</v>
      </c>
      <c r="E93" s="21" t="str" cm="1">
        <f t="array" ref="E93">_xlfn.IFS(D93&lt;0,"under",D93&gt;0.01,"over",AND(D93&lt;0.01,D93&gt;-0.01),"lige på")</f>
        <v>over</v>
      </c>
      <c r="F93">
        <f>_xlfn.XLOOKUP(A93,'2025'!B:B,'2025'!D:D)*1.031</f>
        <v>2225173.2769999998</v>
      </c>
      <c r="G93">
        <f>_xlfn.XLOOKUP(A93,'2023-2025'!W:W,'2023-2025'!AE:AE)*1.031</f>
        <v>2223724.7219999996</v>
      </c>
      <c r="H93" s="21">
        <f t="shared" si="6"/>
        <v>-6.5098525807982185E-2</v>
      </c>
      <c r="I93" s="21" t="str" cm="1">
        <f t="array" ref="I93">_xlfn.IFS(H93&lt;0,"under",H93&gt;0.01,"over",AND(H93&lt;0.01,H93&gt;-0.01),"lige på")</f>
        <v>under</v>
      </c>
      <c r="J93">
        <f>_xlfn.XLOOKUP(A93,'2026'!A:A,'2026'!P:P)</f>
        <v>2239325</v>
      </c>
      <c r="K93">
        <f>_xlfn.XLOOKUP(A93,'2026'!A:A,'2026'!G:G)</f>
        <v>2204988</v>
      </c>
      <c r="L93" s="21">
        <f t="shared" si="7"/>
        <v>-1.5333638484811272</v>
      </c>
      <c r="M93" s="21" t="str" cm="1">
        <f t="array" ref="M93">_xlfn.IFS(L93&lt;-0.01,"under",L93&gt;0.01,"over",AND(L93&lt;0.01,L93&gt;-0.01),"lige på")</f>
        <v>under</v>
      </c>
      <c r="N93" t="str" cm="1">
        <f t="array" ref="N93">IFERROR(_xlfn.IFS(AND(E93="under",I93="under",M93="under"),"Under alle tre år",AND(E93="over",I93="over",M93="over"),"Over alle år"),"")</f>
        <v/>
      </c>
      <c r="O93" s="22">
        <f t="shared" si="8"/>
        <v>-0.20577405977344596</v>
      </c>
      <c r="P93">
        <f>SUM(IF(D93&gt;0.01,1),IF(H93&gt;0.01,1),IF(L93&gt;0.01,1))</f>
        <v>1</v>
      </c>
      <c r="Q93">
        <f>SUM(IF(D93&lt;-0.01,1),IF(H93&lt;-0.01,1),IF(L93&lt;-0.01,1))</f>
        <v>2</v>
      </c>
      <c r="R93">
        <f>SUM(IF(E93="lige på",1,0),IF(I93="lige på",1,0),IF(M93="lige på",1,0))</f>
        <v>0</v>
      </c>
      <c r="S93">
        <f t="shared" si="9"/>
        <v>3</v>
      </c>
    </row>
    <row r="94" spans="1:19" x14ac:dyDescent="0.25">
      <c r="A94" t="s">
        <v>95</v>
      </c>
      <c r="B94" s="21">
        <f>_xlfn.XLOOKUP(A94,'2024'!B:B,'2024'!D:D)*1.06915938074864</f>
        <v>4972982.0968355294</v>
      </c>
      <c r="C94" s="21">
        <f>_xlfn.XLOOKUP(A94,'2023-2025'!D:D,'2023-2025'!T:T)*1.06915938074864</f>
        <v>4983638.4083834514</v>
      </c>
      <c r="D94" s="21">
        <f t="shared" si="5"/>
        <v>0.21428413254700693</v>
      </c>
      <c r="E94" s="21" t="str" cm="1">
        <f t="array" ref="E94">_xlfn.IFS(D94&lt;0,"under",D94&gt;0.01,"over",AND(D94&lt;0.01,D94&gt;-0.01),"lige på")</f>
        <v>over</v>
      </c>
      <c r="F94">
        <f>_xlfn.XLOOKUP(A94,'2025'!B:B,'2025'!D:D)*1.031</f>
        <v>5098859.9879999999</v>
      </c>
      <c r="G94">
        <f>_xlfn.XLOOKUP(A94,'2023-2025'!W:W,'2023-2025'!AE:AE)*1.031</f>
        <v>5099108.4589999998</v>
      </c>
      <c r="H94" s="21">
        <f t="shared" si="6"/>
        <v>4.8730696780196264E-3</v>
      </c>
      <c r="I94" s="21" t="str" cm="1">
        <f t="array" ref="I94">_xlfn.IFS(H94&lt;0,"under",H94&gt;0.01,"over",AND(H94&lt;0.01,H94&gt;-0.01),"lige på")</f>
        <v>lige på</v>
      </c>
      <c r="J94">
        <f>_xlfn.XLOOKUP(A94,'2026'!A:A,'2026'!P:P)</f>
        <v>5139340</v>
      </c>
      <c r="K94">
        <f>_xlfn.XLOOKUP(A94,'2026'!A:A,'2026'!G:G)</f>
        <v>5109458</v>
      </c>
      <c r="L94" s="21">
        <f t="shared" si="7"/>
        <v>-0.58143652686920888</v>
      </c>
      <c r="M94" s="21" t="str" cm="1">
        <f t="array" ref="M94">_xlfn.IFS(L94&lt;-0.01,"under",L94&gt;0.01,"over",AND(L94&lt;0.01,L94&gt;-0.01),"lige på")</f>
        <v>under</v>
      </c>
      <c r="N94" t="str" cm="1">
        <f t="array" ref="N94">IFERROR(_xlfn.IFS(AND(E94="under",I94="under",M94="under"),"Under alle tre år",AND(E94="over",I94="over",M94="over"),"Over alle år"),"")</f>
        <v/>
      </c>
      <c r="O94" s="22">
        <f t="shared" si="8"/>
        <v>-0.12075977488139411</v>
      </c>
      <c r="P94">
        <f>SUM(IF(D94&gt;0.01,1),IF(H94&gt;0.01,1),IF(L94&gt;0.01,1))</f>
        <v>1</v>
      </c>
      <c r="Q94">
        <f>SUM(IF(D94&lt;-0.01,1),IF(H94&lt;-0.01,1),IF(L94&lt;-0.01,1))</f>
        <v>1</v>
      </c>
      <c r="R94">
        <f>SUM(IF(E94="lige på",1,0),IF(I94="lige på",1,0),IF(M94="lige på",1,0))</f>
        <v>1</v>
      </c>
      <c r="S94">
        <f t="shared" si="9"/>
        <v>3</v>
      </c>
    </row>
    <row r="95" spans="1:19" x14ac:dyDescent="0.25">
      <c r="A95" t="s">
        <v>51</v>
      </c>
      <c r="B95" s="21">
        <f>_xlfn.XLOOKUP(A95,'2024'!B:B,'2024'!D:D)*1.06915938074864</f>
        <v>2599766.881069012</v>
      </c>
      <c r="C95" s="21">
        <f>_xlfn.XLOOKUP(A95,'2023-2025'!D:D,'2023-2025'!T:T)*1.06915938074864</f>
        <v>2576742.5338045903</v>
      </c>
      <c r="D95" s="21">
        <f t="shared" si="5"/>
        <v>-0.88563122455633925</v>
      </c>
      <c r="E95" s="21" t="str" cm="1">
        <f t="array" ref="E95">_xlfn.IFS(D95&lt;0,"under",D95&gt;0.01,"over",AND(D95&lt;0.01,D95&gt;-0.01),"lige på")</f>
        <v>under</v>
      </c>
      <c r="F95">
        <f>_xlfn.XLOOKUP(A95,'2025'!B:B,'2025'!D:D)*1.031</f>
        <v>2635410.2389999996</v>
      </c>
      <c r="G95">
        <f>_xlfn.XLOOKUP(A95,'2023-2025'!W:W,'2023-2025'!AE:AE)*1.031</f>
        <v>2622811.4189999998</v>
      </c>
      <c r="H95" s="21">
        <f t="shared" si="6"/>
        <v>-0.4780591580603567</v>
      </c>
      <c r="I95" s="21" t="str" cm="1">
        <f t="array" ref="I95">_xlfn.IFS(H95&lt;0,"under",H95&gt;0.01,"over",AND(H95&lt;0.01,H95&gt;-0.01),"lige på")</f>
        <v>under</v>
      </c>
      <c r="J95">
        <f>_xlfn.XLOOKUP(A95,'2026'!A:A,'2026'!P:P)</f>
        <v>2643098</v>
      </c>
      <c r="K95">
        <f>_xlfn.XLOOKUP(A95,'2026'!A:A,'2026'!G:G)</f>
        <v>2665300</v>
      </c>
      <c r="L95" s="21">
        <f t="shared" si="7"/>
        <v>0.83999912224215678</v>
      </c>
      <c r="M95" s="21" t="str" cm="1">
        <f t="array" ref="M95">_xlfn.IFS(L95&lt;-0.01,"under",L95&gt;0.01,"over",AND(L95&lt;0.01,L95&gt;-0.01),"lige på")</f>
        <v>over</v>
      </c>
      <c r="N95" t="str" cm="1">
        <f t="array" ref="N95">IFERROR(_xlfn.IFS(AND(E95="under",I95="under",M95="under"),"Under alle tre år",AND(E95="over",I95="over",M95="over"),"Over alle år"),"")</f>
        <v/>
      </c>
      <c r="O95" s="22">
        <f t="shared" si="8"/>
        <v>-0.17456375345817973</v>
      </c>
      <c r="P95">
        <f>SUM(IF(D95&gt;0.01,1),IF(H95&gt;0.01,1),IF(L95&gt;0.01,1))</f>
        <v>1</v>
      </c>
      <c r="Q95">
        <f>SUM(IF(D95&lt;-0.01,1),IF(H95&lt;-0.01,1),IF(L95&lt;-0.01,1))</f>
        <v>2</v>
      </c>
      <c r="R95">
        <f>SUM(IF(E95="lige på",1,0),IF(I95="lige på",1,0),IF(M95="lige på",1,0))</f>
        <v>0</v>
      </c>
      <c r="S95">
        <f t="shared" si="9"/>
        <v>3</v>
      </c>
    </row>
    <row r="96" spans="1:19" x14ac:dyDescent="0.25">
      <c r="A96" t="s">
        <v>62</v>
      </c>
      <c r="B96" s="21">
        <f>_xlfn.XLOOKUP(A96,'2024'!B:B,'2024'!D:D)*1.06915938074864</f>
        <v>439653.30559517123</v>
      </c>
      <c r="C96" s="21">
        <f>_xlfn.XLOOKUP(A96,'2023-2025'!D:D,'2023-2025'!T:T)*1.06915938074864</f>
        <v>425765.99439862714</v>
      </c>
      <c r="D96" s="21">
        <f t="shared" si="5"/>
        <v>-3.1586959587951791</v>
      </c>
      <c r="E96" s="21" t="str" cm="1">
        <f t="array" ref="E96">_xlfn.IFS(D96&lt;0,"under",D96&gt;0.01,"over",AND(D96&lt;0.01,D96&gt;-0.01),"lige på")</f>
        <v>under</v>
      </c>
      <c r="F96">
        <f>_xlfn.XLOOKUP(A96,'2025'!B:B,'2025'!D:D)*1.031</f>
        <v>434030.37999999995</v>
      </c>
      <c r="G96">
        <f>_xlfn.XLOOKUP(A96,'2023-2025'!W:W,'2023-2025'!AE:AE)*1.031</f>
        <v>428159.86599999998</v>
      </c>
      <c r="H96" s="21">
        <f t="shared" si="6"/>
        <v>-1.3525583163095558</v>
      </c>
      <c r="I96" s="21" t="str" cm="1">
        <f t="array" ref="I96">_xlfn.IFS(H96&lt;0,"under",H96&gt;0.01,"over",AND(H96&lt;0.01,H96&gt;-0.01),"lige på")</f>
        <v>under</v>
      </c>
      <c r="J96">
        <f>_xlfn.XLOOKUP(A96,'2026'!A:A,'2026'!P:P)</f>
        <v>430557</v>
      </c>
      <c r="K96">
        <f>_xlfn.XLOOKUP(A96,'2026'!A:A,'2026'!G:G)</f>
        <v>430574</v>
      </c>
      <c r="L96" s="21">
        <f t="shared" si="7"/>
        <v>3.9483738506167591E-3</v>
      </c>
      <c r="M96" s="21" t="str" cm="1">
        <f t="array" ref="M96">_xlfn.IFS(L96&lt;-0.01,"under",L96&gt;0.01,"over",AND(L96&lt;0.01,L96&gt;-0.01),"lige på")</f>
        <v>lige på</v>
      </c>
      <c r="N96" t="str" cm="1">
        <f t="array" ref="N96">IFERROR(_xlfn.IFS(AND(E96="under",I96="under",M96="under"),"Under alle tre år",AND(E96="over",I96="over",M96="over"),"Over alle år"),"")</f>
        <v/>
      </c>
      <c r="O96" s="22">
        <f t="shared" si="8"/>
        <v>-1.5024353004180393</v>
      </c>
      <c r="P96">
        <f>SUM(IF(D96&gt;0.01,1),IF(H96&gt;0.01,1),IF(L96&gt;0.01,1))</f>
        <v>0</v>
      </c>
      <c r="Q96">
        <f>SUM(IF(D96&lt;-0.01,1),IF(H96&lt;-0.01,1),IF(L96&lt;-0.01,1))</f>
        <v>2</v>
      </c>
      <c r="R96">
        <f>SUM(IF(E96="lige på",1,0),IF(I96="lige på",1,0),IF(M96="lige på",1,0))</f>
        <v>1</v>
      </c>
      <c r="S96">
        <f t="shared" si="9"/>
        <v>3</v>
      </c>
    </row>
    <row r="97" spans="1:19" x14ac:dyDescent="0.25">
      <c r="A97" t="s">
        <v>71</v>
      </c>
      <c r="B97" s="21">
        <f>_xlfn.XLOOKUP(A97,'2024'!B:B,'2024'!D:D)*1.06915938074864</f>
        <v>3355837.9053967432</v>
      </c>
      <c r="C97" s="21">
        <f>_xlfn.XLOOKUP(A97,'2023-2025'!D:D,'2023-2025'!T:T)*1.06915938074864</f>
        <v>3383879.8176350184</v>
      </c>
      <c r="D97" s="21">
        <f t="shared" si="5"/>
        <v>0.83561581425548381</v>
      </c>
      <c r="E97" s="21" t="str" cm="1">
        <f t="array" ref="E97">_xlfn.IFS(D97&lt;0,"under",D97&gt;0.01,"over",AND(D97&lt;0.01,D97&gt;-0.01),"lige på")</f>
        <v>over</v>
      </c>
      <c r="F97">
        <f>_xlfn.XLOOKUP(A97,'2025'!B:B,'2025'!D:D)*1.031</f>
        <v>3458782.3039999995</v>
      </c>
      <c r="G97">
        <f>_xlfn.XLOOKUP(A97,'2023-2025'!W:W,'2023-2025'!AE:AE)*1.031</f>
        <v>3446610.3179999995</v>
      </c>
      <c r="H97" s="21">
        <f t="shared" si="6"/>
        <v>-0.35191535431193288</v>
      </c>
      <c r="I97" s="21" t="str" cm="1">
        <f t="array" ref="I97">_xlfn.IFS(H97&lt;0,"under",H97&gt;0.01,"over",AND(H97&lt;0.01,H97&gt;-0.01),"lige på")</f>
        <v>under</v>
      </c>
      <c r="J97">
        <f>_xlfn.XLOOKUP(A97,'2026'!A:A,'2026'!P:P)</f>
        <v>3471925</v>
      </c>
      <c r="K97">
        <f>_xlfn.XLOOKUP(A97,'2026'!A:A,'2026'!G:G)</f>
        <v>3439411</v>
      </c>
      <c r="L97" s="21">
        <f t="shared" si="7"/>
        <v>-0.93648336297587065</v>
      </c>
      <c r="M97" s="21" t="str" cm="1">
        <f t="array" ref="M97">_xlfn.IFS(L97&lt;-0.01,"under",L97&gt;0.01,"over",AND(L97&lt;0.01,L97&gt;-0.01),"lige på")</f>
        <v>under</v>
      </c>
      <c r="N97" t="str" cm="1">
        <f t="array" ref="N97">IFERROR(_xlfn.IFS(AND(E97="under",I97="under",M97="under"),"Under alle tre år",AND(E97="over",I97="over",M97="over"),"Over alle år"),"")</f>
        <v/>
      </c>
      <c r="O97" s="22">
        <f t="shared" si="8"/>
        <v>-0.15092763434410658</v>
      </c>
      <c r="P97">
        <f>SUM(IF(D97&gt;0.01,1),IF(H97&gt;0.01,1),IF(L97&gt;0.01,1))</f>
        <v>1</v>
      </c>
      <c r="Q97">
        <f>SUM(IF(D97&lt;-0.01,1),IF(H97&lt;-0.01,1),IF(L97&lt;-0.01,1))</f>
        <v>2</v>
      </c>
      <c r="R97">
        <f>SUM(IF(E97="lige på",1,0),IF(I97="lige på",1,0),IF(M97="lige på",1,0))</f>
        <v>0</v>
      </c>
      <c r="S97">
        <f t="shared" si="9"/>
        <v>3</v>
      </c>
    </row>
    <row r="98" spans="1:19" x14ac:dyDescent="0.25">
      <c r="A98" t="s">
        <v>103</v>
      </c>
      <c r="B98" s="21">
        <f>_xlfn.XLOOKUP(A98,'2024'!B:B,'2024'!D:D)*1.06915938074864</f>
        <v>11444740.680907782</v>
      </c>
      <c r="C98" s="21">
        <f>_xlfn.XLOOKUP(A98,'2023-2025'!D:D,'2023-2025'!T:T)*1.06915938074864</f>
        <v>11491535.64868439</v>
      </c>
      <c r="D98" s="21">
        <f t="shared" si="5"/>
        <v>0.40887748426376758</v>
      </c>
      <c r="E98" s="21" t="str" cm="1">
        <f t="array" ref="E98">_xlfn.IFS(D98&lt;0,"under",D98&gt;0.01,"over",AND(D98&lt;0.01,D98&gt;-0.01),"lige på")</f>
        <v>over</v>
      </c>
      <c r="F98">
        <f>_xlfn.XLOOKUP(A98,'2025'!B:B,'2025'!D:D)*1.031</f>
        <v>11750541.036999999</v>
      </c>
      <c r="G98">
        <f>_xlfn.XLOOKUP(A98,'2023-2025'!W:W,'2023-2025'!AE:AE)*1.031</f>
        <v>11617461.618999999</v>
      </c>
      <c r="H98" s="21">
        <f t="shared" si="6"/>
        <v>-1.132538642952357</v>
      </c>
      <c r="I98" s="21" t="str" cm="1">
        <f t="array" ref="I98">_xlfn.IFS(H98&lt;0,"under",H98&gt;0.01,"over",AND(H98&lt;0.01,H98&gt;-0.01),"lige på")</f>
        <v>under</v>
      </c>
      <c r="J98">
        <f>_xlfn.XLOOKUP(A98,'2026'!A:A,'2026'!P:P)</f>
        <v>11707111</v>
      </c>
      <c r="K98">
        <f>_xlfn.XLOOKUP(A98,'2026'!A:A,'2026'!G:G)</f>
        <v>11687092</v>
      </c>
      <c r="L98" s="21">
        <f t="shared" si="7"/>
        <v>-0.17099863493222198</v>
      </c>
      <c r="M98" s="21" t="str" cm="1">
        <f t="array" ref="M98">_xlfn.IFS(L98&lt;-0.01,"under",L98&gt;0.01,"over",AND(L98&lt;0.01,L98&gt;-0.01),"lige på")</f>
        <v>under</v>
      </c>
      <c r="N98" t="str" cm="1">
        <f t="array" ref="N98">IFERROR(_xlfn.IFS(AND(E98="under",I98="under",M98="under"),"Under alle tre år",AND(E98="over",I98="over",M98="over"),"Over alle år"),"")</f>
        <v/>
      </c>
      <c r="O98" s="22">
        <f t="shared" si="8"/>
        <v>-0.29821993120693707</v>
      </c>
      <c r="P98">
        <f>SUM(IF(D98&gt;0.01,1),IF(H98&gt;0.01,1),IF(L98&gt;0.01,1))</f>
        <v>1</v>
      </c>
      <c r="Q98">
        <f>SUM(IF(D98&lt;-0.01,1),IF(H98&lt;-0.01,1),IF(L98&lt;-0.01,1))</f>
        <v>2</v>
      </c>
      <c r="R98">
        <f>SUM(IF(E98="lige på",1,0),IF(I98="lige på",1,0),IF(M98="lige på",1,0))</f>
        <v>0</v>
      </c>
      <c r="S98">
        <f t="shared" si="9"/>
        <v>3</v>
      </c>
    </row>
    <row r="99" spans="1:19" x14ac:dyDescent="0.25">
      <c r="A99" t="s">
        <v>88</v>
      </c>
      <c r="B99" s="21">
        <f>_xlfn.XLOOKUP(A99,'2024'!B:B,'2024'!D:D)*1.06915938074864</f>
        <v>17823853.397160023</v>
      </c>
      <c r="C99" s="21">
        <f>_xlfn.XLOOKUP(A99,'2023-2025'!D:D,'2023-2025'!T:T)*1.06915938074864</f>
        <v>18034579.365308676</v>
      </c>
      <c r="D99" s="21">
        <f t="shared" si="5"/>
        <v>1.1822694198227002</v>
      </c>
      <c r="E99" s="21" t="str" cm="1">
        <f t="array" ref="E99">_xlfn.IFS(D99&lt;0,"under",D99&gt;0.01,"over",AND(D99&lt;0.01,D99&gt;-0.01),"lige på")</f>
        <v>over</v>
      </c>
      <c r="F99">
        <f>_xlfn.XLOOKUP(A99,'2025'!B:B,'2025'!D:D)*1.031</f>
        <v>18445410.675999999</v>
      </c>
      <c r="G99">
        <f>_xlfn.XLOOKUP(A99,'2023-2025'!W:W,'2023-2025'!AE:AE)*1.031</f>
        <v>18584859.612</v>
      </c>
      <c r="H99" s="21">
        <f t="shared" si="6"/>
        <v>0.75600884387704537</v>
      </c>
      <c r="I99" s="21" t="str" cm="1">
        <f t="array" ref="I99">_xlfn.IFS(H99&lt;0,"under",H99&gt;0.01,"over",AND(H99&lt;0.01,H99&gt;-0.01),"lige på")</f>
        <v>over</v>
      </c>
      <c r="J99">
        <f>_xlfn.XLOOKUP(A99,'2026'!A:A,'2026'!P:P)</f>
        <v>18729172</v>
      </c>
      <c r="K99">
        <f>_xlfn.XLOOKUP(A99,'2026'!A:A,'2026'!G:G)</f>
        <v>18729170</v>
      </c>
      <c r="L99" s="21">
        <f t="shared" si="7"/>
        <v>-1.0678528661064141E-5</v>
      </c>
      <c r="M99" s="21" t="str" cm="1">
        <f t="array" ref="M99">_xlfn.IFS(L99&lt;-0.01,"under",L99&gt;0.01,"over",AND(L99&lt;0.01,L99&gt;-0.01),"lige på")</f>
        <v>lige på</v>
      </c>
      <c r="N99" t="str" cm="1">
        <f t="array" ref="N99">IFERROR(_xlfn.IFS(AND(E99="under",I99="under",M99="under"),"Under alle tre år",AND(E99="over",I99="over",M99="over"),"Over alle år"),"")</f>
        <v/>
      </c>
      <c r="O99" s="22">
        <f t="shared" si="8"/>
        <v>0.64608919505702811</v>
      </c>
      <c r="P99">
        <f>SUM(IF(D99&gt;0.01,1),IF(H99&gt;0.01,1),IF(L99&gt;0.01,1))</f>
        <v>2</v>
      </c>
      <c r="Q99">
        <f>SUM(IF(D99&lt;-0.01,1),IF(H99&lt;-0.01,1),IF(L99&lt;-0.01,1))</f>
        <v>0</v>
      </c>
      <c r="R99">
        <f>SUM(IF(E99="lige på",1,0),IF(I99="lige på",1,0),IF(M99="lige på",1,0))</f>
        <v>1</v>
      </c>
      <c r="S99">
        <f t="shared" si="9"/>
        <v>3</v>
      </c>
    </row>
  </sheetData>
  <conditionalFormatting sqref="Q2:Q99">
    <cfRule type="cellIs" dxfId="0" priority="1" operator="greaterThan">
      <formula>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96C9-CC0E-4D4B-84EF-CF7D97922245}">
  <dimension ref="A1:E100"/>
  <sheetViews>
    <sheetView workbookViewId="0">
      <selection activeCell="C2" sqref="C2"/>
    </sheetView>
  </sheetViews>
  <sheetFormatPr defaultRowHeight="15" x14ac:dyDescent="0.25"/>
  <cols>
    <col min="3" max="4" width="13.85546875" bestFit="1" customWidth="1"/>
  </cols>
  <sheetData>
    <row r="1" spans="1:5" ht="7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.75" thickBot="1" x14ac:dyDescent="0.3">
      <c r="A2" s="1" t="s">
        <v>5</v>
      </c>
      <c r="B2" s="1" t="s">
        <v>6</v>
      </c>
      <c r="C2" s="2">
        <v>287758036</v>
      </c>
      <c r="D2" s="2">
        <v>303737409</v>
      </c>
      <c r="E2" s="1">
        <v>100</v>
      </c>
    </row>
    <row r="3" spans="1:5" ht="29.25" thickBot="1" x14ac:dyDescent="0.3">
      <c r="A3" s="3">
        <v>101</v>
      </c>
      <c r="B3" s="3" t="s">
        <v>7</v>
      </c>
      <c r="C3" s="4">
        <v>29837017</v>
      </c>
      <c r="D3" s="4">
        <v>31498456</v>
      </c>
      <c r="E3" s="3">
        <v>10.584</v>
      </c>
    </row>
    <row r="4" spans="1:5" ht="29.25" thickBot="1" x14ac:dyDescent="0.3">
      <c r="A4" s="3">
        <v>147</v>
      </c>
      <c r="B4" s="3" t="s">
        <v>8</v>
      </c>
      <c r="C4" s="4">
        <v>4467297</v>
      </c>
      <c r="D4" s="4">
        <v>4715919</v>
      </c>
      <c r="E4" s="3">
        <v>1.5780000000000001</v>
      </c>
    </row>
    <row r="5" spans="1:5" ht="29.25" thickBot="1" x14ac:dyDescent="0.3">
      <c r="A5" s="3">
        <v>151</v>
      </c>
      <c r="B5" s="3" t="s">
        <v>9</v>
      </c>
      <c r="C5" s="4">
        <v>3043034</v>
      </c>
      <c r="D5" s="4">
        <v>3209202</v>
      </c>
      <c r="E5" s="3">
        <v>0.92500000000000004</v>
      </c>
    </row>
    <row r="6" spans="1:5" ht="29.25" thickBot="1" x14ac:dyDescent="0.3">
      <c r="A6" s="3">
        <v>153</v>
      </c>
      <c r="B6" s="3" t="s">
        <v>10</v>
      </c>
      <c r="C6" s="4">
        <v>2215504</v>
      </c>
      <c r="D6" s="4">
        <v>2338074</v>
      </c>
      <c r="E6" s="3">
        <v>0.748</v>
      </c>
    </row>
    <row r="7" spans="1:5" ht="15.75" thickBot="1" x14ac:dyDescent="0.3">
      <c r="A7" s="3">
        <v>155</v>
      </c>
      <c r="B7" s="3" t="s">
        <v>11</v>
      </c>
      <c r="C7" s="4">
        <v>737689</v>
      </c>
      <c r="D7" s="4">
        <v>778093</v>
      </c>
      <c r="E7" s="3">
        <v>0.23100000000000001</v>
      </c>
    </row>
    <row r="8" spans="1:5" ht="29.25" thickBot="1" x14ac:dyDescent="0.3">
      <c r="A8" s="3">
        <v>157</v>
      </c>
      <c r="B8" s="3" t="s">
        <v>12</v>
      </c>
      <c r="C8" s="4">
        <v>3862580</v>
      </c>
      <c r="D8" s="4">
        <v>4072903</v>
      </c>
      <c r="E8" s="3">
        <v>1.1459999999999999</v>
      </c>
    </row>
    <row r="9" spans="1:5" ht="29.25" thickBot="1" x14ac:dyDescent="0.3">
      <c r="A9" s="3">
        <v>159</v>
      </c>
      <c r="B9" s="3" t="s">
        <v>13</v>
      </c>
      <c r="C9" s="4">
        <v>3810749</v>
      </c>
      <c r="D9" s="4">
        <v>4020103</v>
      </c>
      <c r="E9" s="3">
        <v>1.218</v>
      </c>
    </row>
    <row r="10" spans="1:5" ht="29.25" thickBot="1" x14ac:dyDescent="0.3">
      <c r="A10" s="3">
        <v>161</v>
      </c>
      <c r="B10" s="3" t="s">
        <v>14</v>
      </c>
      <c r="C10" s="4">
        <v>1277101</v>
      </c>
      <c r="D10" s="4">
        <v>1347649</v>
      </c>
      <c r="E10" s="3">
        <v>0.42599999999999999</v>
      </c>
    </row>
    <row r="11" spans="1:5" ht="15.75" thickBot="1" x14ac:dyDescent="0.3">
      <c r="A11" s="3">
        <v>163</v>
      </c>
      <c r="B11" s="3" t="s">
        <v>15</v>
      </c>
      <c r="C11" s="4">
        <v>1633520</v>
      </c>
      <c r="D11" s="4">
        <v>1723590</v>
      </c>
      <c r="E11" s="3">
        <v>0.53800000000000003</v>
      </c>
    </row>
    <row r="12" spans="1:5" ht="29.25" thickBot="1" x14ac:dyDescent="0.3">
      <c r="A12" s="3">
        <v>165</v>
      </c>
      <c r="B12" s="3" t="s">
        <v>16</v>
      </c>
      <c r="C12" s="4">
        <v>1796577</v>
      </c>
      <c r="D12" s="4">
        <v>1894880</v>
      </c>
      <c r="E12" s="3">
        <v>0.55500000000000005</v>
      </c>
    </row>
    <row r="13" spans="1:5" ht="29.25" thickBot="1" x14ac:dyDescent="0.3">
      <c r="A13" s="3">
        <v>167</v>
      </c>
      <c r="B13" s="3" t="s">
        <v>17</v>
      </c>
      <c r="C13" s="4">
        <v>3060031</v>
      </c>
      <c r="D13" s="4">
        <v>3227901</v>
      </c>
      <c r="E13" s="3">
        <v>0.96699999999999997</v>
      </c>
    </row>
    <row r="14" spans="1:5" ht="43.5" thickBot="1" x14ac:dyDescent="0.3">
      <c r="A14" s="3">
        <v>169</v>
      </c>
      <c r="B14" s="3" t="s">
        <v>18</v>
      </c>
      <c r="C14" s="4">
        <v>3064283</v>
      </c>
      <c r="D14" s="4">
        <v>3232574</v>
      </c>
      <c r="E14" s="3">
        <v>0.97699999999999998</v>
      </c>
    </row>
    <row r="15" spans="1:5" ht="43.5" thickBot="1" x14ac:dyDescent="0.3">
      <c r="A15" s="3">
        <v>173</v>
      </c>
      <c r="B15" s="3" t="s">
        <v>19</v>
      </c>
      <c r="C15" s="4">
        <v>3028450</v>
      </c>
      <c r="D15" s="4">
        <v>3193569</v>
      </c>
      <c r="E15" s="3">
        <v>0.90900000000000003</v>
      </c>
    </row>
    <row r="16" spans="1:5" ht="29.25" thickBot="1" x14ac:dyDescent="0.3">
      <c r="A16" s="3">
        <v>175</v>
      </c>
      <c r="B16" s="3" t="s">
        <v>20</v>
      </c>
      <c r="C16" s="4">
        <v>2393354</v>
      </c>
      <c r="D16" s="4">
        <v>2524922</v>
      </c>
      <c r="E16" s="3">
        <v>0.76900000000000002</v>
      </c>
    </row>
    <row r="17" spans="1:5" ht="15.75" thickBot="1" x14ac:dyDescent="0.3">
      <c r="A17" s="3">
        <v>183</v>
      </c>
      <c r="B17" s="3" t="s">
        <v>21</v>
      </c>
      <c r="C17" s="4">
        <v>1417218</v>
      </c>
      <c r="D17" s="4">
        <v>1495489</v>
      </c>
      <c r="E17" s="3">
        <v>0.47199999999999998</v>
      </c>
    </row>
    <row r="18" spans="1:5" ht="15.75" thickBot="1" x14ac:dyDescent="0.3">
      <c r="A18" s="3">
        <v>185</v>
      </c>
      <c r="B18" s="3" t="s">
        <v>22</v>
      </c>
      <c r="C18" s="4">
        <v>2204355</v>
      </c>
      <c r="D18" s="4">
        <v>2326512</v>
      </c>
      <c r="E18" s="3">
        <v>0.754</v>
      </c>
    </row>
    <row r="19" spans="1:5" ht="29.25" thickBot="1" x14ac:dyDescent="0.3">
      <c r="A19" s="3">
        <v>187</v>
      </c>
      <c r="B19" s="3" t="s">
        <v>23</v>
      </c>
      <c r="C19" s="4">
        <v>888187</v>
      </c>
      <c r="D19" s="4">
        <v>936698</v>
      </c>
      <c r="E19" s="3">
        <v>0.27</v>
      </c>
    </row>
    <row r="20" spans="1:5" ht="15.75" thickBot="1" x14ac:dyDescent="0.3">
      <c r="A20" s="3">
        <v>190</v>
      </c>
      <c r="B20" s="3" t="s">
        <v>24</v>
      </c>
      <c r="C20" s="4">
        <v>2206973</v>
      </c>
      <c r="D20" s="4">
        <v>2327610</v>
      </c>
      <c r="E20" s="3">
        <v>0.67700000000000005</v>
      </c>
    </row>
    <row r="21" spans="1:5" ht="15.75" thickBot="1" x14ac:dyDescent="0.3">
      <c r="A21" s="3">
        <v>201</v>
      </c>
      <c r="B21" s="3" t="s">
        <v>25</v>
      </c>
      <c r="C21" s="4">
        <v>1326100</v>
      </c>
      <c r="D21" s="4">
        <v>1398239</v>
      </c>
      <c r="E21" s="3">
        <v>0.39</v>
      </c>
    </row>
    <row r="22" spans="1:5" ht="29.25" thickBot="1" x14ac:dyDescent="0.3">
      <c r="A22" s="3">
        <v>210</v>
      </c>
      <c r="B22" s="3" t="s">
        <v>26</v>
      </c>
      <c r="C22" s="4">
        <v>2215738</v>
      </c>
      <c r="D22" s="4">
        <v>2337248</v>
      </c>
      <c r="E22" s="3">
        <v>0.69799999999999995</v>
      </c>
    </row>
    <row r="23" spans="1:5" ht="29.25" thickBot="1" x14ac:dyDescent="0.3">
      <c r="A23" s="3">
        <v>217</v>
      </c>
      <c r="B23" s="3" t="s">
        <v>27</v>
      </c>
      <c r="C23" s="4">
        <v>3333563</v>
      </c>
      <c r="D23" s="4">
        <v>3517261</v>
      </c>
      <c r="E23" s="3">
        <v>1.0920000000000001</v>
      </c>
    </row>
    <row r="24" spans="1:5" ht="15.75" thickBot="1" x14ac:dyDescent="0.3">
      <c r="A24" s="3">
        <v>219</v>
      </c>
      <c r="B24" s="3" t="s">
        <v>28</v>
      </c>
      <c r="C24" s="4">
        <v>2622821</v>
      </c>
      <c r="D24" s="4">
        <v>2767185</v>
      </c>
      <c r="E24" s="3">
        <v>0.85099999999999998</v>
      </c>
    </row>
    <row r="25" spans="1:5" ht="29.25" thickBot="1" x14ac:dyDescent="0.3">
      <c r="A25" s="3">
        <v>223</v>
      </c>
      <c r="B25" s="3" t="s">
        <v>29</v>
      </c>
      <c r="C25" s="4">
        <v>1235940</v>
      </c>
      <c r="D25" s="4">
        <v>1303756</v>
      </c>
      <c r="E25" s="3">
        <v>0.39100000000000001</v>
      </c>
    </row>
    <row r="26" spans="1:5" ht="29.25" thickBot="1" x14ac:dyDescent="0.3">
      <c r="A26" s="3">
        <v>230</v>
      </c>
      <c r="B26" s="3" t="s">
        <v>30</v>
      </c>
      <c r="C26" s="4">
        <v>2912993</v>
      </c>
      <c r="D26" s="4">
        <v>3072350</v>
      </c>
      <c r="E26" s="3">
        <v>0.89900000000000002</v>
      </c>
    </row>
    <row r="27" spans="1:5" ht="15.75" thickBot="1" x14ac:dyDescent="0.3">
      <c r="A27" s="3">
        <v>240</v>
      </c>
      <c r="B27" s="3" t="s">
        <v>31</v>
      </c>
      <c r="C27" s="4">
        <v>2156087</v>
      </c>
      <c r="D27" s="4">
        <v>2274285</v>
      </c>
      <c r="E27" s="3">
        <v>0.67700000000000005</v>
      </c>
    </row>
    <row r="28" spans="1:5" ht="29.25" thickBot="1" x14ac:dyDescent="0.3">
      <c r="A28" s="3">
        <v>250</v>
      </c>
      <c r="B28" s="3" t="s">
        <v>32</v>
      </c>
      <c r="C28" s="4">
        <v>2364790</v>
      </c>
      <c r="D28" s="4">
        <v>2494836</v>
      </c>
      <c r="E28" s="3">
        <v>0.76200000000000001</v>
      </c>
    </row>
    <row r="29" spans="1:5" ht="15.75" thickBot="1" x14ac:dyDescent="0.3">
      <c r="A29" s="3">
        <v>253</v>
      </c>
      <c r="B29" s="3" t="s">
        <v>33</v>
      </c>
      <c r="C29" s="4">
        <v>2418107</v>
      </c>
      <c r="D29" s="4">
        <v>2552614</v>
      </c>
      <c r="E29" s="3">
        <v>0.85099999999999998</v>
      </c>
    </row>
    <row r="30" spans="1:5" ht="15.75" thickBot="1" x14ac:dyDescent="0.3">
      <c r="A30" s="3">
        <v>259</v>
      </c>
      <c r="B30" s="3" t="s">
        <v>34</v>
      </c>
      <c r="C30" s="4">
        <v>3104986</v>
      </c>
      <c r="D30" s="4">
        <v>3277064</v>
      </c>
      <c r="E30" s="3">
        <v>1.0629999999999999</v>
      </c>
    </row>
    <row r="31" spans="1:5" ht="29.25" thickBot="1" x14ac:dyDescent="0.3">
      <c r="A31" s="3">
        <v>260</v>
      </c>
      <c r="B31" s="3" t="s">
        <v>35</v>
      </c>
      <c r="C31" s="4">
        <v>1739799</v>
      </c>
      <c r="D31" s="4">
        <v>1835059</v>
      </c>
      <c r="E31" s="3">
        <v>0.54100000000000004</v>
      </c>
    </row>
    <row r="32" spans="1:5" ht="29.25" thickBot="1" x14ac:dyDescent="0.3">
      <c r="A32" s="3">
        <v>265</v>
      </c>
      <c r="B32" s="3" t="s">
        <v>36</v>
      </c>
      <c r="C32" s="4">
        <v>4404071</v>
      </c>
      <c r="D32" s="4">
        <v>4646510</v>
      </c>
      <c r="E32" s="3">
        <v>1.43</v>
      </c>
    </row>
    <row r="33" spans="1:5" ht="15.75" thickBot="1" x14ac:dyDescent="0.3">
      <c r="A33" s="3">
        <v>269</v>
      </c>
      <c r="B33" s="3" t="s">
        <v>37</v>
      </c>
      <c r="C33" s="4">
        <v>1177426</v>
      </c>
      <c r="D33" s="4">
        <v>1241969</v>
      </c>
      <c r="E33" s="3">
        <v>0.37</v>
      </c>
    </row>
    <row r="34" spans="1:5" ht="29.25" thickBot="1" x14ac:dyDescent="0.3">
      <c r="A34" s="3">
        <v>270</v>
      </c>
      <c r="B34" s="3" t="s">
        <v>38</v>
      </c>
      <c r="C34" s="4">
        <v>2102536</v>
      </c>
      <c r="D34" s="4">
        <v>2218312</v>
      </c>
      <c r="E34" s="3">
        <v>0.68500000000000005</v>
      </c>
    </row>
    <row r="35" spans="1:5" ht="29.25" thickBot="1" x14ac:dyDescent="0.3">
      <c r="A35" s="3">
        <v>306</v>
      </c>
      <c r="B35" s="3" t="s">
        <v>39</v>
      </c>
      <c r="C35" s="4">
        <v>1750990</v>
      </c>
      <c r="D35" s="4">
        <v>1848116</v>
      </c>
      <c r="E35" s="3">
        <v>0.60299999999999998</v>
      </c>
    </row>
    <row r="36" spans="1:5" ht="29.25" thickBot="1" x14ac:dyDescent="0.3">
      <c r="A36" s="3">
        <v>316</v>
      </c>
      <c r="B36" s="3" t="s">
        <v>40</v>
      </c>
      <c r="C36" s="4">
        <v>3375000</v>
      </c>
      <c r="D36" s="4">
        <v>3564553</v>
      </c>
      <c r="E36" s="3">
        <v>1.274</v>
      </c>
    </row>
    <row r="37" spans="1:5" ht="15.75" thickBot="1" x14ac:dyDescent="0.3">
      <c r="A37" s="3">
        <v>320</v>
      </c>
      <c r="B37" s="3" t="s">
        <v>41</v>
      </c>
      <c r="C37" s="4">
        <v>1835861</v>
      </c>
      <c r="D37" s="4">
        <v>1937778</v>
      </c>
      <c r="E37" s="3">
        <v>0.63700000000000001</v>
      </c>
    </row>
    <row r="38" spans="1:5" ht="29.25" thickBot="1" x14ac:dyDescent="0.3">
      <c r="A38" s="3">
        <v>326</v>
      </c>
      <c r="B38" s="3" t="s">
        <v>42</v>
      </c>
      <c r="C38" s="4">
        <v>2424230</v>
      </c>
      <c r="D38" s="4">
        <v>2560042</v>
      </c>
      <c r="E38" s="3">
        <v>0.89900000000000002</v>
      </c>
    </row>
    <row r="39" spans="1:5" ht="29.25" thickBot="1" x14ac:dyDescent="0.3">
      <c r="A39" s="3">
        <v>329</v>
      </c>
      <c r="B39" s="3" t="s">
        <v>43</v>
      </c>
      <c r="C39" s="4">
        <v>1797140</v>
      </c>
      <c r="D39" s="4">
        <v>1896612</v>
      </c>
      <c r="E39" s="3">
        <v>0.60899999999999999</v>
      </c>
    </row>
    <row r="40" spans="1:5" ht="29.25" thickBot="1" x14ac:dyDescent="0.3">
      <c r="A40" s="3">
        <v>330</v>
      </c>
      <c r="B40" s="3" t="s">
        <v>44</v>
      </c>
      <c r="C40" s="4">
        <v>3995595</v>
      </c>
      <c r="D40" s="4">
        <v>4219151</v>
      </c>
      <c r="E40" s="3">
        <v>1.468</v>
      </c>
    </row>
    <row r="41" spans="1:5" ht="15.75" thickBot="1" x14ac:dyDescent="0.3">
      <c r="A41" s="3">
        <v>336</v>
      </c>
      <c r="B41" s="3" t="s">
        <v>45</v>
      </c>
      <c r="C41" s="4">
        <v>1119454</v>
      </c>
      <c r="D41" s="4">
        <v>1181790</v>
      </c>
      <c r="E41" s="3">
        <v>0.39700000000000002</v>
      </c>
    </row>
    <row r="42" spans="1:5" ht="15.75" thickBot="1" x14ac:dyDescent="0.3">
      <c r="A42" s="3">
        <v>340</v>
      </c>
      <c r="B42" s="3" t="s">
        <v>46</v>
      </c>
      <c r="C42" s="4">
        <v>1474246</v>
      </c>
      <c r="D42" s="4">
        <v>1556252</v>
      </c>
      <c r="E42" s="3">
        <v>0.51900000000000002</v>
      </c>
    </row>
    <row r="43" spans="1:5" ht="15.75" thickBot="1" x14ac:dyDescent="0.3">
      <c r="A43" s="3">
        <v>350</v>
      </c>
      <c r="B43" s="3" t="s">
        <v>47</v>
      </c>
      <c r="C43" s="4">
        <v>1380043</v>
      </c>
      <c r="D43" s="4">
        <v>1456200</v>
      </c>
      <c r="E43" s="3">
        <v>0.45700000000000002</v>
      </c>
    </row>
    <row r="44" spans="1:5" ht="15.75" thickBot="1" x14ac:dyDescent="0.3">
      <c r="A44" s="3">
        <v>360</v>
      </c>
      <c r="B44" s="3" t="s">
        <v>48</v>
      </c>
      <c r="C44" s="4">
        <v>2580646</v>
      </c>
      <c r="D44" s="4">
        <v>2722973</v>
      </c>
      <c r="E44" s="3">
        <v>0.85099999999999998</v>
      </c>
    </row>
    <row r="45" spans="1:5" ht="29.25" thickBot="1" x14ac:dyDescent="0.3">
      <c r="A45" s="3">
        <v>370</v>
      </c>
      <c r="B45" s="3" t="s">
        <v>49</v>
      </c>
      <c r="C45" s="4">
        <v>3925221</v>
      </c>
      <c r="D45" s="4">
        <v>4145345</v>
      </c>
      <c r="E45" s="3">
        <v>1.466</v>
      </c>
    </row>
    <row r="46" spans="1:5" ht="29.25" thickBot="1" x14ac:dyDescent="0.3">
      <c r="A46" s="3">
        <v>376</v>
      </c>
      <c r="B46" s="3" t="s">
        <v>50</v>
      </c>
      <c r="C46" s="4">
        <v>3178516</v>
      </c>
      <c r="D46" s="4">
        <v>3355839</v>
      </c>
      <c r="E46" s="3">
        <v>1.143</v>
      </c>
    </row>
    <row r="47" spans="1:5" ht="29.25" thickBot="1" x14ac:dyDescent="0.3">
      <c r="A47" s="3">
        <v>390</v>
      </c>
      <c r="B47" s="3" t="s">
        <v>51</v>
      </c>
      <c r="C47" s="4">
        <v>2303113</v>
      </c>
      <c r="D47" s="4">
        <v>2431599</v>
      </c>
      <c r="E47" s="3">
        <v>0.82799999999999996</v>
      </c>
    </row>
    <row r="48" spans="1:5" ht="29.25" thickBot="1" x14ac:dyDescent="0.3">
      <c r="A48" s="3">
        <v>400</v>
      </c>
      <c r="B48" s="3" t="s">
        <v>52</v>
      </c>
      <c r="C48" s="4">
        <v>2131499</v>
      </c>
      <c r="D48" s="4">
        <v>2248963</v>
      </c>
      <c r="E48" s="3">
        <v>0.69799999999999995</v>
      </c>
    </row>
    <row r="49" spans="1:5" ht="29.25" thickBot="1" x14ac:dyDescent="0.3">
      <c r="A49" s="3">
        <v>410</v>
      </c>
      <c r="B49" s="3" t="s">
        <v>53</v>
      </c>
      <c r="C49" s="4">
        <v>1809209</v>
      </c>
      <c r="D49" s="4">
        <v>1910207</v>
      </c>
      <c r="E49" s="3">
        <v>0.65400000000000003</v>
      </c>
    </row>
    <row r="50" spans="1:5" ht="29.25" thickBot="1" x14ac:dyDescent="0.3">
      <c r="A50" s="3">
        <v>420</v>
      </c>
      <c r="B50" s="3" t="s">
        <v>54</v>
      </c>
      <c r="C50" s="4">
        <v>2022002</v>
      </c>
      <c r="D50" s="4">
        <v>2134579</v>
      </c>
      <c r="E50" s="3">
        <v>0.71699999999999997</v>
      </c>
    </row>
    <row r="51" spans="1:5" ht="43.5" thickBot="1" x14ac:dyDescent="0.3">
      <c r="A51" s="3">
        <v>430</v>
      </c>
      <c r="B51" s="3" t="s">
        <v>55</v>
      </c>
      <c r="C51" s="4">
        <v>2559870</v>
      </c>
      <c r="D51" s="4">
        <v>2702087</v>
      </c>
      <c r="E51" s="3">
        <v>0.89300000000000002</v>
      </c>
    </row>
    <row r="52" spans="1:5" ht="29.25" thickBot="1" x14ac:dyDescent="0.3">
      <c r="A52" s="3">
        <v>440</v>
      </c>
      <c r="B52" s="3" t="s">
        <v>56</v>
      </c>
      <c r="C52" s="4">
        <v>1196930</v>
      </c>
      <c r="D52" s="4">
        <v>1263329</v>
      </c>
      <c r="E52" s="3">
        <v>0.41299999999999998</v>
      </c>
    </row>
    <row r="53" spans="1:5" ht="15.75" thickBot="1" x14ac:dyDescent="0.3">
      <c r="A53" s="3">
        <v>450</v>
      </c>
      <c r="B53" s="3" t="s">
        <v>57</v>
      </c>
      <c r="C53" s="4">
        <v>1648129</v>
      </c>
      <c r="D53" s="4">
        <v>1739671</v>
      </c>
      <c r="E53" s="3">
        <v>0.57399999999999995</v>
      </c>
    </row>
    <row r="54" spans="1:5" ht="29.25" thickBot="1" x14ac:dyDescent="0.3">
      <c r="A54" s="3">
        <v>461</v>
      </c>
      <c r="B54" s="3" t="s">
        <v>58</v>
      </c>
      <c r="C54" s="4">
        <v>9304505</v>
      </c>
      <c r="D54" s="4">
        <v>9827425</v>
      </c>
      <c r="E54" s="3">
        <v>3.5270000000000001</v>
      </c>
    </row>
    <row r="55" spans="1:5" ht="29.25" thickBot="1" x14ac:dyDescent="0.3">
      <c r="A55" s="3">
        <v>479</v>
      </c>
      <c r="B55" s="3" t="s">
        <v>59</v>
      </c>
      <c r="C55" s="4">
        <v>2887571</v>
      </c>
      <c r="D55" s="4">
        <v>3048321</v>
      </c>
      <c r="E55" s="3">
        <v>1.022</v>
      </c>
    </row>
    <row r="56" spans="1:5" ht="29.25" thickBot="1" x14ac:dyDescent="0.3">
      <c r="A56" s="3">
        <v>480</v>
      </c>
      <c r="B56" s="3" t="s">
        <v>60</v>
      </c>
      <c r="C56" s="4">
        <v>1463922</v>
      </c>
      <c r="D56" s="4">
        <v>1545298</v>
      </c>
      <c r="E56" s="3">
        <v>0.51300000000000001</v>
      </c>
    </row>
    <row r="57" spans="1:5" ht="29.25" thickBot="1" x14ac:dyDescent="0.3">
      <c r="A57" s="3">
        <v>482</v>
      </c>
      <c r="B57" s="3" t="s">
        <v>61</v>
      </c>
      <c r="C57" s="4">
        <v>737632</v>
      </c>
      <c r="D57" s="4">
        <v>778126</v>
      </c>
      <c r="E57" s="3">
        <v>0.23400000000000001</v>
      </c>
    </row>
    <row r="58" spans="1:5" ht="15.75" thickBot="1" x14ac:dyDescent="0.3">
      <c r="A58" s="3">
        <v>492</v>
      </c>
      <c r="B58" s="3" t="s">
        <v>62</v>
      </c>
      <c r="C58" s="4">
        <v>390119</v>
      </c>
      <c r="D58" s="4">
        <v>411214</v>
      </c>
      <c r="E58" s="3">
        <v>0.109</v>
      </c>
    </row>
    <row r="59" spans="1:5" ht="29.25" thickBot="1" x14ac:dyDescent="0.3">
      <c r="A59" s="3">
        <v>510</v>
      </c>
      <c r="B59" s="3" t="s">
        <v>63</v>
      </c>
      <c r="C59" s="4">
        <v>2761360</v>
      </c>
      <c r="D59" s="4">
        <v>2915514</v>
      </c>
      <c r="E59" s="3">
        <v>0.998</v>
      </c>
    </row>
    <row r="60" spans="1:5" ht="15.75" thickBot="1" x14ac:dyDescent="0.3">
      <c r="A60" s="3">
        <v>530</v>
      </c>
      <c r="B60" s="3" t="s">
        <v>64</v>
      </c>
      <c r="C60" s="4">
        <v>1383500</v>
      </c>
      <c r="D60" s="4">
        <v>1459965</v>
      </c>
      <c r="E60" s="3">
        <v>0.46400000000000002</v>
      </c>
    </row>
    <row r="61" spans="1:5" ht="29.25" thickBot="1" x14ac:dyDescent="0.3">
      <c r="A61" s="3">
        <v>540</v>
      </c>
      <c r="B61" s="3" t="s">
        <v>65</v>
      </c>
      <c r="C61" s="4">
        <v>3746199</v>
      </c>
      <c r="D61" s="4">
        <v>3954688</v>
      </c>
      <c r="E61" s="3">
        <v>1.3240000000000001</v>
      </c>
    </row>
    <row r="62" spans="1:5" ht="15.75" thickBot="1" x14ac:dyDescent="0.3">
      <c r="A62" s="3">
        <v>550</v>
      </c>
      <c r="B62" s="3" t="s">
        <v>66</v>
      </c>
      <c r="C62" s="4">
        <v>1908579</v>
      </c>
      <c r="D62" s="4">
        <v>2014906</v>
      </c>
      <c r="E62" s="3">
        <v>0.67900000000000005</v>
      </c>
    </row>
    <row r="63" spans="1:5" ht="29.25" thickBot="1" x14ac:dyDescent="0.3">
      <c r="A63" s="3">
        <v>561</v>
      </c>
      <c r="B63" s="3" t="s">
        <v>67</v>
      </c>
      <c r="C63" s="4">
        <v>5699583</v>
      </c>
      <c r="D63" s="4">
        <v>6016815</v>
      </c>
      <c r="E63" s="3">
        <v>2.0150000000000001</v>
      </c>
    </row>
    <row r="64" spans="1:5" ht="15.75" thickBot="1" x14ac:dyDescent="0.3">
      <c r="A64" s="3">
        <v>563</v>
      </c>
      <c r="B64" s="3" t="s">
        <v>68</v>
      </c>
      <c r="C64" s="4">
        <v>191582</v>
      </c>
      <c r="D64" s="4">
        <v>201963</v>
      </c>
      <c r="E64" s="3">
        <v>5.3999999999999999E-2</v>
      </c>
    </row>
    <row r="65" spans="1:5" ht="15.75" thickBot="1" x14ac:dyDescent="0.3">
      <c r="A65" s="3">
        <v>573</v>
      </c>
      <c r="B65" s="3" t="s">
        <v>69</v>
      </c>
      <c r="C65" s="4">
        <v>2400114</v>
      </c>
      <c r="D65" s="4">
        <v>2533866</v>
      </c>
      <c r="E65" s="3">
        <v>0.85599999999999998</v>
      </c>
    </row>
    <row r="66" spans="1:5" ht="15.75" thickBot="1" x14ac:dyDescent="0.3">
      <c r="A66" s="3">
        <v>575</v>
      </c>
      <c r="B66" s="3" t="s">
        <v>70</v>
      </c>
      <c r="C66" s="4">
        <v>2079654</v>
      </c>
      <c r="D66" s="4">
        <v>2195357</v>
      </c>
      <c r="E66" s="3">
        <v>0.73299999999999998</v>
      </c>
    </row>
    <row r="67" spans="1:5" ht="29.25" thickBot="1" x14ac:dyDescent="0.3">
      <c r="A67" s="3">
        <v>580</v>
      </c>
      <c r="B67" s="3" t="s">
        <v>71</v>
      </c>
      <c r="C67" s="4">
        <v>2973442</v>
      </c>
      <c r="D67" s="4">
        <v>3138763</v>
      </c>
      <c r="E67" s="3">
        <v>1.0429999999999999</v>
      </c>
    </row>
    <row r="68" spans="1:5" ht="29.25" thickBot="1" x14ac:dyDescent="0.3">
      <c r="A68" s="3">
        <v>607</v>
      </c>
      <c r="B68" s="3" t="s">
        <v>72</v>
      </c>
      <c r="C68" s="4">
        <v>2625339</v>
      </c>
      <c r="D68" s="4">
        <v>2771672</v>
      </c>
      <c r="E68" s="3">
        <v>0.93799999999999994</v>
      </c>
    </row>
    <row r="69" spans="1:5" ht="29.25" thickBot="1" x14ac:dyDescent="0.3">
      <c r="A69" s="3">
        <v>615</v>
      </c>
      <c r="B69" s="3" t="s">
        <v>73</v>
      </c>
      <c r="C69" s="4">
        <v>4350490</v>
      </c>
      <c r="D69" s="4">
        <v>4594009</v>
      </c>
      <c r="E69" s="3">
        <v>1.603</v>
      </c>
    </row>
    <row r="70" spans="1:5" ht="15.75" thickBot="1" x14ac:dyDescent="0.3">
      <c r="A70" s="3">
        <v>621</v>
      </c>
      <c r="B70" s="3" t="s">
        <v>74</v>
      </c>
      <c r="C70" s="4">
        <v>4346693</v>
      </c>
      <c r="D70" s="4">
        <v>4589438</v>
      </c>
      <c r="E70" s="3">
        <v>1.575</v>
      </c>
    </row>
    <row r="71" spans="1:5" ht="15.75" thickBot="1" x14ac:dyDescent="0.3">
      <c r="A71" s="3">
        <v>630</v>
      </c>
      <c r="B71" s="3" t="s">
        <v>75</v>
      </c>
      <c r="C71" s="4">
        <v>5120157</v>
      </c>
      <c r="D71" s="4">
        <v>5409375</v>
      </c>
      <c r="E71" s="3">
        <v>2.0099999999999998</v>
      </c>
    </row>
    <row r="72" spans="1:5" ht="29.25" thickBot="1" x14ac:dyDescent="0.3">
      <c r="A72" s="3">
        <v>657</v>
      </c>
      <c r="B72" s="3" t="s">
        <v>76</v>
      </c>
      <c r="C72" s="4">
        <v>4002086</v>
      </c>
      <c r="D72" s="4">
        <v>4226149</v>
      </c>
      <c r="E72" s="3">
        <v>1.4770000000000001</v>
      </c>
    </row>
    <row r="73" spans="1:5" ht="29.25" thickBot="1" x14ac:dyDescent="0.3">
      <c r="A73" s="3">
        <v>661</v>
      </c>
      <c r="B73" s="3" t="s">
        <v>77</v>
      </c>
      <c r="C73" s="4">
        <v>2726064</v>
      </c>
      <c r="D73" s="4">
        <v>2877808</v>
      </c>
      <c r="E73" s="3">
        <v>0.96399999999999997</v>
      </c>
    </row>
    <row r="74" spans="1:5" ht="15.75" thickBot="1" x14ac:dyDescent="0.3">
      <c r="A74" s="3">
        <v>665</v>
      </c>
      <c r="B74" s="3" t="s">
        <v>78</v>
      </c>
      <c r="C74" s="4">
        <v>1008241</v>
      </c>
      <c r="D74" s="4">
        <v>1063943</v>
      </c>
      <c r="E74" s="3">
        <v>0.33700000000000002</v>
      </c>
    </row>
    <row r="75" spans="1:5" ht="15.75" thickBot="1" x14ac:dyDescent="0.3">
      <c r="A75" s="3">
        <v>671</v>
      </c>
      <c r="B75" s="3" t="s">
        <v>79</v>
      </c>
      <c r="C75" s="4">
        <v>1048371</v>
      </c>
      <c r="D75" s="4">
        <v>1106682</v>
      </c>
      <c r="E75" s="3">
        <v>0.36899999999999999</v>
      </c>
    </row>
    <row r="76" spans="1:5" ht="29.25" thickBot="1" x14ac:dyDescent="0.3">
      <c r="A76" s="3">
        <v>706</v>
      </c>
      <c r="B76" s="3" t="s">
        <v>80</v>
      </c>
      <c r="C76" s="4">
        <v>2051013</v>
      </c>
      <c r="D76" s="4">
        <v>2164963</v>
      </c>
      <c r="E76" s="3">
        <v>0.71499999999999997</v>
      </c>
    </row>
    <row r="77" spans="1:5" ht="29.25" thickBot="1" x14ac:dyDescent="0.3">
      <c r="A77" s="3">
        <v>707</v>
      </c>
      <c r="B77" s="3" t="s">
        <v>81</v>
      </c>
      <c r="C77" s="4">
        <v>1922302</v>
      </c>
      <c r="D77" s="4">
        <v>2029159</v>
      </c>
      <c r="E77" s="3">
        <v>0.67300000000000004</v>
      </c>
    </row>
    <row r="78" spans="1:5" ht="29.25" thickBot="1" x14ac:dyDescent="0.3">
      <c r="A78" s="3">
        <v>710</v>
      </c>
      <c r="B78" s="3" t="s">
        <v>82</v>
      </c>
      <c r="C78" s="4">
        <v>2250682</v>
      </c>
      <c r="D78" s="4">
        <v>2375380</v>
      </c>
      <c r="E78" s="3">
        <v>0.76900000000000002</v>
      </c>
    </row>
    <row r="79" spans="1:5" ht="15.75" thickBot="1" x14ac:dyDescent="0.3">
      <c r="A79" s="3">
        <v>727</v>
      </c>
      <c r="B79" s="3" t="s">
        <v>83</v>
      </c>
      <c r="C79" s="4">
        <v>1081010</v>
      </c>
      <c r="D79" s="4">
        <v>1141195</v>
      </c>
      <c r="E79" s="3">
        <v>0.38300000000000001</v>
      </c>
    </row>
    <row r="80" spans="1:5" ht="29.25" thickBot="1" x14ac:dyDescent="0.3">
      <c r="A80" s="3">
        <v>730</v>
      </c>
      <c r="B80" s="3" t="s">
        <v>84</v>
      </c>
      <c r="C80" s="4">
        <v>4700720</v>
      </c>
      <c r="D80" s="4">
        <v>4964164</v>
      </c>
      <c r="E80" s="3">
        <v>1.7470000000000001</v>
      </c>
    </row>
    <row r="81" spans="1:5" ht="29.25" thickBot="1" x14ac:dyDescent="0.3">
      <c r="A81" s="3">
        <v>740</v>
      </c>
      <c r="B81" s="3" t="s">
        <v>85</v>
      </c>
      <c r="C81" s="4">
        <v>4500399</v>
      </c>
      <c r="D81" s="4">
        <v>4750797</v>
      </c>
      <c r="E81" s="3">
        <v>1.587</v>
      </c>
    </row>
    <row r="82" spans="1:5" ht="15.75" thickBot="1" x14ac:dyDescent="0.3">
      <c r="A82" s="3">
        <v>741</v>
      </c>
      <c r="B82" s="3" t="s">
        <v>86</v>
      </c>
      <c r="C82" s="4">
        <v>257622</v>
      </c>
      <c r="D82" s="4">
        <v>271455</v>
      </c>
      <c r="E82" s="3">
        <v>6.7000000000000004E-2</v>
      </c>
    </row>
    <row r="83" spans="1:5" ht="29.25" thickBot="1" x14ac:dyDescent="0.3">
      <c r="A83" s="3">
        <v>746</v>
      </c>
      <c r="B83" s="3" t="s">
        <v>87</v>
      </c>
      <c r="C83" s="4">
        <v>3023340</v>
      </c>
      <c r="D83" s="4">
        <v>3190118</v>
      </c>
      <c r="E83" s="3">
        <v>0.998</v>
      </c>
    </row>
    <row r="84" spans="1:5" ht="15.75" thickBot="1" x14ac:dyDescent="0.3">
      <c r="A84" s="3">
        <v>751</v>
      </c>
      <c r="B84" s="3" t="s">
        <v>88</v>
      </c>
      <c r="C84" s="4">
        <v>15788977</v>
      </c>
      <c r="D84" s="4">
        <v>16670904</v>
      </c>
      <c r="E84" s="3">
        <v>5.73</v>
      </c>
    </row>
    <row r="85" spans="1:5" ht="29.25" thickBot="1" x14ac:dyDescent="0.3">
      <c r="A85" s="3">
        <v>756</v>
      </c>
      <c r="B85" s="3" t="s">
        <v>89</v>
      </c>
      <c r="C85" s="4">
        <v>1887111</v>
      </c>
      <c r="D85" s="4">
        <v>1992986</v>
      </c>
      <c r="E85" s="3">
        <v>0.70699999999999996</v>
      </c>
    </row>
    <row r="86" spans="1:5" ht="43.5" thickBot="1" x14ac:dyDescent="0.3">
      <c r="A86" s="3">
        <v>760</v>
      </c>
      <c r="B86" s="3" t="s">
        <v>90</v>
      </c>
      <c r="C86" s="4">
        <v>2715472</v>
      </c>
      <c r="D86" s="4">
        <v>2866344</v>
      </c>
      <c r="E86" s="3">
        <v>0.94699999999999995</v>
      </c>
    </row>
    <row r="87" spans="1:5" ht="29.25" thickBot="1" x14ac:dyDescent="0.3">
      <c r="A87" s="3">
        <v>766</v>
      </c>
      <c r="B87" s="3" t="s">
        <v>91</v>
      </c>
      <c r="C87" s="4">
        <v>2173326</v>
      </c>
      <c r="D87" s="4">
        <v>2294173</v>
      </c>
      <c r="E87" s="3">
        <v>0.76300000000000001</v>
      </c>
    </row>
    <row r="88" spans="1:5" ht="15.75" thickBot="1" x14ac:dyDescent="0.3">
      <c r="A88" s="3">
        <v>773</v>
      </c>
      <c r="B88" s="3" t="s">
        <v>92</v>
      </c>
      <c r="C88" s="4">
        <v>1083517</v>
      </c>
      <c r="D88" s="4">
        <v>1143480</v>
      </c>
      <c r="E88" s="3">
        <v>0.36699999999999999</v>
      </c>
    </row>
    <row r="89" spans="1:5" ht="15.75" thickBot="1" x14ac:dyDescent="0.3">
      <c r="A89" s="3">
        <v>779</v>
      </c>
      <c r="B89" s="3" t="s">
        <v>93</v>
      </c>
      <c r="C89" s="4">
        <v>2241848</v>
      </c>
      <c r="D89" s="4">
        <v>2366720</v>
      </c>
      <c r="E89" s="3">
        <v>0.79700000000000004</v>
      </c>
    </row>
    <row r="90" spans="1:5" ht="15.75" thickBot="1" x14ac:dyDescent="0.3">
      <c r="A90" s="3">
        <v>787</v>
      </c>
      <c r="B90" s="3" t="s">
        <v>94</v>
      </c>
      <c r="C90" s="4">
        <v>2137339</v>
      </c>
      <c r="D90" s="4">
        <v>2256327</v>
      </c>
      <c r="E90" s="3">
        <v>0.75700000000000001</v>
      </c>
    </row>
    <row r="91" spans="1:5" ht="15.75" thickBot="1" x14ac:dyDescent="0.3">
      <c r="A91" s="3">
        <v>791</v>
      </c>
      <c r="B91" s="3" t="s">
        <v>95</v>
      </c>
      <c r="C91" s="4">
        <v>4404603</v>
      </c>
      <c r="D91" s="4">
        <v>4651301</v>
      </c>
      <c r="E91" s="3">
        <v>1.63</v>
      </c>
    </row>
    <row r="92" spans="1:5" ht="29.25" thickBot="1" x14ac:dyDescent="0.3">
      <c r="A92" s="3">
        <v>810</v>
      </c>
      <c r="B92" s="3" t="s">
        <v>96</v>
      </c>
      <c r="C92" s="4">
        <v>1890380</v>
      </c>
      <c r="D92" s="4">
        <v>1994600</v>
      </c>
      <c r="E92" s="3">
        <v>0.621</v>
      </c>
    </row>
    <row r="93" spans="1:5" ht="29.25" thickBot="1" x14ac:dyDescent="0.3">
      <c r="A93" s="3">
        <v>813</v>
      </c>
      <c r="B93" s="3" t="s">
        <v>97</v>
      </c>
      <c r="C93" s="4">
        <v>2984393</v>
      </c>
      <c r="D93" s="4">
        <v>3150558</v>
      </c>
      <c r="E93" s="3">
        <v>1.0580000000000001</v>
      </c>
    </row>
    <row r="94" spans="1:5" ht="43.5" thickBot="1" x14ac:dyDescent="0.3">
      <c r="A94" s="3">
        <v>820</v>
      </c>
      <c r="B94" s="3" t="s">
        <v>98</v>
      </c>
      <c r="C94" s="4">
        <v>1911076</v>
      </c>
      <c r="D94" s="4">
        <v>2017041</v>
      </c>
      <c r="E94" s="3">
        <v>0.65700000000000003</v>
      </c>
    </row>
    <row r="95" spans="1:5" ht="15.75" thickBot="1" x14ac:dyDescent="0.3">
      <c r="A95" s="3">
        <v>825</v>
      </c>
      <c r="B95" s="3" t="s">
        <v>99</v>
      </c>
      <c r="C95" s="4">
        <v>150284</v>
      </c>
      <c r="D95" s="4">
        <v>158224</v>
      </c>
      <c r="E95" s="3">
        <v>3.3000000000000002E-2</v>
      </c>
    </row>
    <row r="96" spans="1:5" ht="15.75" thickBot="1" x14ac:dyDescent="0.3">
      <c r="A96" s="3">
        <v>840</v>
      </c>
      <c r="B96" s="3" t="s">
        <v>100</v>
      </c>
      <c r="C96" s="4">
        <v>1433005</v>
      </c>
      <c r="D96" s="4">
        <v>1512478</v>
      </c>
      <c r="E96" s="3">
        <v>0.49299999999999999</v>
      </c>
    </row>
    <row r="97" spans="1:5" ht="29.25" thickBot="1" x14ac:dyDescent="0.3">
      <c r="A97" s="3">
        <v>846</v>
      </c>
      <c r="B97" s="3" t="s">
        <v>101</v>
      </c>
      <c r="C97" s="4">
        <v>2051447</v>
      </c>
      <c r="D97" s="4">
        <v>2165522</v>
      </c>
      <c r="E97" s="3">
        <v>0.72</v>
      </c>
    </row>
    <row r="98" spans="1:5" ht="29.25" thickBot="1" x14ac:dyDescent="0.3">
      <c r="A98" s="3">
        <v>849</v>
      </c>
      <c r="B98" s="3" t="s">
        <v>102</v>
      </c>
      <c r="C98" s="4">
        <v>1926949</v>
      </c>
      <c r="D98" s="4">
        <v>2033587</v>
      </c>
      <c r="E98" s="3">
        <v>0.65200000000000002</v>
      </c>
    </row>
    <row r="99" spans="1:5" ht="29.25" thickBot="1" x14ac:dyDescent="0.3">
      <c r="A99" s="3">
        <v>851</v>
      </c>
      <c r="B99" s="3" t="s">
        <v>103</v>
      </c>
      <c r="C99" s="4">
        <v>10139254</v>
      </c>
      <c r="D99" s="4">
        <v>10704429</v>
      </c>
      <c r="E99" s="3">
        <v>3.6240000000000001</v>
      </c>
    </row>
    <row r="100" spans="1:5" ht="29.25" thickBot="1" x14ac:dyDescent="0.3">
      <c r="A100" s="3">
        <v>860</v>
      </c>
      <c r="B100" s="3" t="s">
        <v>104</v>
      </c>
      <c r="C100" s="4">
        <v>3330195</v>
      </c>
      <c r="D100" s="4">
        <v>3514291</v>
      </c>
      <c r="E100" s="3">
        <v>1.1180000000000001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BFC2-890B-47A1-A94F-9E61034813A8}">
  <dimension ref="A1:E100"/>
  <sheetViews>
    <sheetView workbookViewId="0">
      <selection activeCell="D12" sqref="D12"/>
    </sheetView>
  </sheetViews>
  <sheetFormatPr defaultRowHeight="15" x14ac:dyDescent="0.25"/>
  <cols>
    <col min="3" max="4" width="13.85546875" bestFit="1" customWidth="1"/>
  </cols>
  <sheetData>
    <row r="1" spans="1:5" ht="75.75" thickBot="1" x14ac:dyDescent="0.3">
      <c r="A1" s="1" t="s">
        <v>0</v>
      </c>
      <c r="B1" s="1" t="s">
        <v>1</v>
      </c>
      <c r="C1" s="1" t="s">
        <v>105</v>
      </c>
      <c r="D1" s="1" t="s">
        <v>106</v>
      </c>
      <c r="E1" s="1" t="s">
        <v>4</v>
      </c>
    </row>
    <row r="2" spans="1:5" ht="30.75" thickBot="1" x14ac:dyDescent="0.3">
      <c r="A2" s="1" t="s">
        <v>5</v>
      </c>
      <c r="B2" s="1" t="s">
        <v>6</v>
      </c>
      <c r="C2" s="2">
        <v>306097900</v>
      </c>
      <c r="D2" s="2">
        <v>324421038</v>
      </c>
      <c r="E2" s="1">
        <v>100</v>
      </c>
    </row>
    <row r="3" spans="1:5" ht="29.25" thickBot="1" x14ac:dyDescent="0.3">
      <c r="A3" s="3">
        <v>101</v>
      </c>
      <c r="B3" s="3" t="s">
        <v>7</v>
      </c>
      <c r="C3" s="4">
        <v>31976822</v>
      </c>
      <c r="D3" s="4">
        <v>33894680</v>
      </c>
      <c r="E3" s="3">
        <v>10.523</v>
      </c>
    </row>
    <row r="4" spans="1:5" ht="29.25" thickBot="1" x14ac:dyDescent="0.3">
      <c r="A4" s="3">
        <v>147</v>
      </c>
      <c r="B4" s="3" t="s">
        <v>8</v>
      </c>
      <c r="C4" s="4">
        <v>4738495</v>
      </c>
      <c r="D4" s="4">
        <v>5023065</v>
      </c>
      <c r="E4" s="3">
        <v>1.5669999999999999</v>
      </c>
    </row>
    <row r="5" spans="1:5" ht="29.25" thickBot="1" x14ac:dyDescent="0.3">
      <c r="A5" s="3">
        <v>151</v>
      </c>
      <c r="B5" s="3" t="s">
        <v>9</v>
      </c>
      <c r="C5" s="4">
        <v>3292053</v>
      </c>
      <c r="D5" s="4">
        <v>3482016</v>
      </c>
      <c r="E5" s="3">
        <v>0.93</v>
      </c>
    </row>
    <row r="6" spans="1:5" ht="29.25" thickBot="1" x14ac:dyDescent="0.3">
      <c r="A6" s="3">
        <v>153</v>
      </c>
      <c r="B6" s="3" t="s">
        <v>10</v>
      </c>
      <c r="C6" s="4">
        <v>2366004</v>
      </c>
      <c r="D6" s="4">
        <v>2507069</v>
      </c>
      <c r="E6" s="3">
        <v>0.76100000000000001</v>
      </c>
    </row>
    <row r="7" spans="1:5" ht="15.75" thickBot="1" x14ac:dyDescent="0.3">
      <c r="A7" s="3">
        <v>155</v>
      </c>
      <c r="B7" s="3" t="s">
        <v>11</v>
      </c>
      <c r="C7" s="4">
        <v>783727</v>
      </c>
      <c r="D7" s="4">
        <v>829298</v>
      </c>
      <c r="E7" s="3">
        <v>0.22800000000000001</v>
      </c>
    </row>
    <row r="8" spans="1:5" ht="29.25" thickBot="1" x14ac:dyDescent="0.3">
      <c r="A8" s="3">
        <v>157</v>
      </c>
      <c r="B8" s="3" t="s">
        <v>12</v>
      </c>
      <c r="C8" s="4">
        <v>4104435</v>
      </c>
      <c r="D8" s="4">
        <v>4340653</v>
      </c>
      <c r="E8" s="3">
        <v>1.1459999999999999</v>
      </c>
    </row>
    <row r="9" spans="1:5" ht="29.25" thickBot="1" x14ac:dyDescent="0.3">
      <c r="A9" s="3">
        <v>159</v>
      </c>
      <c r="B9" s="3" t="s">
        <v>13</v>
      </c>
      <c r="C9" s="4">
        <v>4091922</v>
      </c>
      <c r="D9" s="4">
        <v>4330810</v>
      </c>
      <c r="E9" s="3">
        <v>1.212</v>
      </c>
    </row>
    <row r="10" spans="1:5" ht="29.25" thickBot="1" x14ac:dyDescent="0.3">
      <c r="A10" s="3">
        <v>161</v>
      </c>
      <c r="B10" s="3" t="s">
        <v>14</v>
      </c>
      <c r="C10" s="4">
        <v>1362873</v>
      </c>
      <c r="D10" s="4">
        <v>1443306</v>
      </c>
      <c r="E10" s="3">
        <v>0.42199999999999999</v>
      </c>
    </row>
    <row r="11" spans="1:5" ht="15.75" thickBot="1" x14ac:dyDescent="0.3">
      <c r="A11" s="3">
        <v>163</v>
      </c>
      <c r="B11" s="3" t="s">
        <v>15</v>
      </c>
      <c r="C11" s="4">
        <v>1735834</v>
      </c>
      <c r="D11" s="4">
        <v>1838333</v>
      </c>
      <c r="E11" s="3">
        <v>0.53800000000000003</v>
      </c>
    </row>
    <row r="12" spans="1:5" ht="29.25" thickBot="1" x14ac:dyDescent="0.3">
      <c r="A12" s="3">
        <v>165</v>
      </c>
      <c r="B12" s="3" t="s">
        <v>16</v>
      </c>
      <c r="C12" s="4">
        <v>1875000</v>
      </c>
      <c r="D12" s="4">
        <v>1984244</v>
      </c>
      <c r="E12" s="3">
        <v>0.55100000000000005</v>
      </c>
    </row>
    <row r="13" spans="1:5" ht="29.25" thickBot="1" x14ac:dyDescent="0.3">
      <c r="A13" s="3">
        <v>167</v>
      </c>
      <c r="B13" s="3" t="s">
        <v>17</v>
      </c>
      <c r="C13" s="4">
        <v>3222892</v>
      </c>
      <c r="D13" s="4">
        <v>3411134</v>
      </c>
      <c r="E13" s="3">
        <v>0.95699999999999996</v>
      </c>
    </row>
    <row r="14" spans="1:5" ht="43.5" thickBot="1" x14ac:dyDescent="0.3">
      <c r="A14" s="3">
        <v>169</v>
      </c>
      <c r="B14" s="3" t="s">
        <v>18</v>
      </c>
      <c r="C14" s="4">
        <v>3295196</v>
      </c>
      <c r="D14" s="4">
        <v>3488724</v>
      </c>
      <c r="E14" s="3">
        <v>1</v>
      </c>
    </row>
    <row r="15" spans="1:5" ht="43.5" thickBot="1" x14ac:dyDescent="0.3">
      <c r="A15" s="3">
        <v>173</v>
      </c>
      <c r="B15" s="3" t="s">
        <v>19</v>
      </c>
      <c r="C15" s="4">
        <v>3202803</v>
      </c>
      <c r="D15" s="4">
        <v>3387908</v>
      </c>
      <c r="E15" s="3">
        <v>0.91</v>
      </c>
    </row>
    <row r="16" spans="1:5" ht="29.25" thickBot="1" x14ac:dyDescent="0.3">
      <c r="A16" s="3">
        <v>175</v>
      </c>
      <c r="B16" s="3" t="s">
        <v>20</v>
      </c>
      <c r="C16" s="4">
        <v>2549725</v>
      </c>
      <c r="D16" s="4">
        <v>2699681</v>
      </c>
      <c r="E16" s="3">
        <v>0.77800000000000002</v>
      </c>
    </row>
    <row r="17" spans="1:5" ht="15.75" thickBot="1" x14ac:dyDescent="0.3">
      <c r="A17" s="3">
        <v>183</v>
      </c>
      <c r="B17" s="3" t="s">
        <v>21</v>
      </c>
      <c r="C17" s="4">
        <v>1498688</v>
      </c>
      <c r="D17" s="4">
        <v>1587433</v>
      </c>
      <c r="E17" s="3">
        <v>0.47</v>
      </c>
    </row>
    <row r="18" spans="1:5" ht="15.75" thickBot="1" x14ac:dyDescent="0.3">
      <c r="A18" s="3">
        <v>185</v>
      </c>
      <c r="B18" s="3" t="s">
        <v>22</v>
      </c>
      <c r="C18" s="4">
        <v>2341969</v>
      </c>
      <c r="D18" s="4">
        <v>2481637</v>
      </c>
      <c r="E18" s="3">
        <v>0.754</v>
      </c>
    </row>
    <row r="19" spans="1:5" ht="29.25" thickBot="1" x14ac:dyDescent="0.3">
      <c r="A19" s="3">
        <v>187</v>
      </c>
      <c r="B19" s="3" t="s">
        <v>23</v>
      </c>
      <c r="C19" s="4">
        <v>975510</v>
      </c>
      <c r="D19" s="4">
        <v>1031808</v>
      </c>
      <c r="E19" s="3">
        <v>0.27600000000000002</v>
      </c>
    </row>
    <row r="20" spans="1:5" ht="15.75" thickBot="1" x14ac:dyDescent="0.3">
      <c r="A20" s="3">
        <v>190</v>
      </c>
      <c r="B20" s="3" t="s">
        <v>24</v>
      </c>
      <c r="C20" s="4">
        <v>2346089</v>
      </c>
      <c r="D20" s="4">
        <v>2482400</v>
      </c>
      <c r="E20" s="3">
        <v>0.68200000000000005</v>
      </c>
    </row>
    <row r="21" spans="1:5" ht="15.75" thickBot="1" x14ac:dyDescent="0.3">
      <c r="A21" s="3">
        <v>201</v>
      </c>
      <c r="B21" s="3" t="s">
        <v>25</v>
      </c>
      <c r="C21" s="4">
        <v>1432307</v>
      </c>
      <c r="D21" s="4">
        <v>1514200</v>
      </c>
      <c r="E21" s="3">
        <v>0.38900000000000001</v>
      </c>
    </row>
    <row r="22" spans="1:5" ht="29.25" thickBot="1" x14ac:dyDescent="0.3">
      <c r="A22" s="3">
        <v>210</v>
      </c>
      <c r="B22" s="3" t="s">
        <v>26</v>
      </c>
      <c r="C22" s="4">
        <v>2364326</v>
      </c>
      <c r="D22" s="4">
        <v>2502200</v>
      </c>
      <c r="E22" s="3">
        <v>0.69899999999999995</v>
      </c>
    </row>
    <row r="23" spans="1:5" ht="29.25" thickBot="1" x14ac:dyDescent="0.3">
      <c r="A23" s="3">
        <v>217</v>
      </c>
      <c r="B23" s="3" t="s">
        <v>27</v>
      </c>
      <c r="C23" s="4">
        <v>3546151</v>
      </c>
      <c r="D23" s="4">
        <v>3755090</v>
      </c>
      <c r="E23" s="3">
        <v>1.0900000000000001</v>
      </c>
    </row>
    <row r="24" spans="1:5" ht="15.75" thickBot="1" x14ac:dyDescent="0.3">
      <c r="A24" s="3">
        <v>219</v>
      </c>
      <c r="B24" s="3" t="s">
        <v>28</v>
      </c>
      <c r="C24" s="4">
        <v>2807680</v>
      </c>
      <c r="D24" s="4">
        <v>2972838</v>
      </c>
      <c r="E24" s="3">
        <v>0.85699999999999998</v>
      </c>
    </row>
    <row r="25" spans="1:5" ht="29.25" thickBot="1" x14ac:dyDescent="0.3">
      <c r="A25" s="3">
        <v>223</v>
      </c>
      <c r="B25" s="3" t="s">
        <v>29</v>
      </c>
      <c r="C25" s="4">
        <v>1318317</v>
      </c>
      <c r="D25" s="4">
        <v>1395065</v>
      </c>
      <c r="E25" s="3">
        <v>0.38600000000000001</v>
      </c>
    </row>
    <row r="26" spans="1:5" ht="29.25" thickBot="1" x14ac:dyDescent="0.3">
      <c r="A26" s="3">
        <v>230</v>
      </c>
      <c r="B26" s="3" t="s">
        <v>30</v>
      </c>
      <c r="C26" s="4">
        <v>5105051</v>
      </c>
      <c r="D26" s="4">
        <v>3284887</v>
      </c>
      <c r="E26" s="3">
        <v>0.89</v>
      </c>
    </row>
    <row r="27" spans="1:5" ht="15.75" thickBot="1" x14ac:dyDescent="0.3">
      <c r="A27" s="3">
        <v>240</v>
      </c>
      <c r="B27" s="3" t="s">
        <v>31</v>
      </c>
      <c r="C27" s="4">
        <v>2318137</v>
      </c>
      <c r="D27" s="4">
        <v>2453399</v>
      </c>
      <c r="E27" s="3">
        <v>0.68500000000000005</v>
      </c>
    </row>
    <row r="28" spans="1:5" ht="29.25" thickBot="1" x14ac:dyDescent="0.3">
      <c r="A28" s="3">
        <v>250</v>
      </c>
      <c r="B28" s="3" t="s">
        <v>32</v>
      </c>
      <c r="C28" s="4">
        <v>2513113</v>
      </c>
      <c r="D28" s="4">
        <v>2660513</v>
      </c>
      <c r="E28" s="3">
        <v>0.75900000000000001</v>
      </c>
    </row>
    <row r="29" spans="1:5" ht="15.75" thickBot="1" x14ac:dyDescent="0.3">
      <c r="A29" s="3">
        <v>253</v>
      </c>
      <c r="B29" s="3" t="s">
        <v>33</v>
      </c>
      <c r="C29" s="4">
        <v>2596143</v>
      </c>
      <c r="D29" s="4">
        <v>2751839</v>
      </c>
      <c r="E29" s="3">
        <v>0.85399999999999998</v>
      </c>
    </row>
    <row r="30" spans="1:5" ht="15.75" thickBot="1" x14ac:dyDescent="0.3">
      <c r="A30" s="3">
        <v>259</v>
      </c>
      <c r="B30" s="3" t="s">
        <v>34</v>
      </c>
      <c r="C30" s="4">
        <v>3324045</v>
      </c>
      <c r="D30" s="4">
        <v>3521811</v>
      </c>
      <c r="E30" s="3">
        <v>1.0609999999999999</v>
      </c>
    </row>
    <row r="31" spans="1:5" ht="29.25" thickBot="1" x14ac:dyDescent="0.3">
      <c r="A31" s="3">
        <v>260</v>
      </c>
      <c r="B31" s="3" t="s">
        <v>35</v>
      </c>
      <c r="C31" s="4">
        <v>1825535</v>
      </c>
      <c r="D31" s="4">
        <v>1931868</v>
      </c>
      <c r="E31" s="3">
        <v>0.53600000000000003</v>
      </c>
    </row>
    <row r="32" spans="1:5" ht="29.25" thickBot="1" x14ac:dyDescent="0.3">
      <c r="A32" s="3">
        <v>265</v>
      </c>
      <c r="B32" s="3" t="s">
        <v>36</v>
      </c>
      <c r="C32" s="4">
        <v>4642766</v>
      </c>
      <c r="D32" s="4">
        <v>4916584</v>
      </c>
      <c r="E32" s="3">
        <v>1.4330000000000001</v>
      </c>
    </row>
    <row r="33" spans="1:5" ht="15.75" thickBot="1" x14ac:dyDescent="0.3">
      <c r="A33" s="3">
        <v>269</v>
      </c>
      <c r="B33" s="3" t="s">
        <v>37</v>
      </c>
      <c r="C33" s="4">
        <v>1256821</v>
      </c>
      <c r="D33" s="4">
        <v>1330236</v>
      </c>
      <c r="E33" s="3">
        <v>0.373</v>
      </c>
    </row>
    <row r="34" spans="1:5" ht="29.25" thickBot="1" x14ac:dyDescent="0.3">
      <c r="A34" s="3">
        <v>270</v>
      </c>
      <c r="B34" s="3" t="s">
        <v>38</v>
      </c>
      <c r="C34" s="4">
        <v>2244600</v>
      </c>
      <c r="D34" s="4">
        <v>2376384</v>
      </c>
      <c r="E34" s="3">
        <v>0.68</v>
      </c>
    </row>
    <row r="35" spans="1:5" ht="29.25" thickBot="1" x14ac:dyDescent="0.3">
      <c r="A35" s="3">
        <v>306</v>
      </c>
      <c r="B35" s="3" t="s">
        <v>39</v>
      </c>
      <c r="C35" s="4">
        <v>1878409</v>
      </c>
      <c r="D35" s="4">
        <v>1990333</v>
      </c>
      <c r="E35" s="3">
        <v>0.60299999999999998</v>
      </c>
    </row>
    <row r="36" spans="1:5" ht="29.25" thickBot="1" x14ac:dyDescent="0.3">
      <c r="A36" s="3">
        <v>316</v>
      </c>
      <c r="B36" s="3" t="s">
        <v>40</v>
      </c>
      <c r="C36" s="4">
        <v>3603831</v>
      </c>
      <c r="D36" s="4">
        <v>3824212</v>
      </c>
      <c r="E36" s="3">
        <v>1.2729999999999999</v>
      </c>
    </row>
    <row r="37" spans="1:5" ht="15.75" thickBot="1" x14ac:dyDescent="0.3">
      <c r="A37" s="3">
        <v>320</v>
      </c>
      <c r="B37" s="3" t="s">
        <v>41</v>
      </c>
      <c r="C37" s="4">
        <v>1931130</v>
      </c>
      <c r="D37" s="4">
        <v>2046889</v>
      </c>
      <c r="E37" s="3">
        <v>0.63400000000000001</v>
      </c>
    </row>
    <row r="38" spans="1:5" ht="29.25" thickBot="1" x14ac:dyDescent="0.3">
      <c r="A38" s="3">
        <v>326</v>
      </c>
      <c r="B38" s="3" t="s">
        <v>42</v>
      </c>
      <c r="C38" s="4">
        <v>2581104</v>
      </c>
      <c r="D38" s="4">
        <v>2738125</v>
      </c>
      <c r="E38" s="3">
        <v>0.89500000000000002</v>
      </c>
    </row>
    <row r="39" spans="1:5" ht="29.25" thickBot="1" x14ac:dyDescent="0.3">
      <c r="A39" s="3">
        <v>329</v>
      </c>
      <c r="B39" s="3" t="s">
        <v>43</v>
      </c>
      <c r="C39" s="4">
        <v>1926305</v>
      </c>
      <c r="D39" s="4">
        <v>2040847</v>
      </c>
      <c r="E39" s="3">
        <v>0.61399999999999999</v>
      </c>
    </row>
    <row r="40" spans="1:5" ht="29.25" thickBot="1" x14ac:dyDescent="0.3">
      <c r="A40" s="3">
        <v>330</v>
      </c>
      <c r="B40" s="3" t="s">
        <v>44</v>
      </c>
      <c r="C40" s="4">
        <v>4214216</v>
      </c>
      <c r="D40" s="4">
        <v>4470560</v>
      </c>
      <c r="E40" s="3">
        <v>1.4610000000000001</v>
      </c>
    </row>
    <row r="41" spans="1:5" ht="15.75" thickBot="1" x14ac:dyDescent="0.3">
      <c r="A41" s="3">
        <v>336</v>
      </c>
      <c r="B41" s="3" t="s">
        <v>45</v>
      </c>
      <c r="C41" s="4">
        <v>1182844</v>
      </c>
      <c r="D41" s="4">
        <v>1254257</v>
      </c>
      <c r="E41" s="3">
        <v>0.39900000000000002</v>
      </c>
    </row>
    <row r="42" spans="1:5" ht="15.75" thickBot="1" x14ac:dyDescent="0.3">
      <c r="A42" s="3">
        <v>340</v>
      </c>
      <c r="B42" s="3" t="s">
        <v>46</v>
      </c>
      <c r="C42" s="4">
        <v>1558905</v>
      </c>
      <c r="D42" s="4">
        <v>1652820</v>
      </c>
      <c r="E42" s="3">
        <v>0.52200000000000002</v>
      </c>
    </row>
    <row r="43" spans="1:5" ht="15.75" thickBot="1" x14ac:dyDescent="0.3">
      <c r="A43" s="3">
        <v>350</v>
      </c>
      <c r="B43" s="3" t="s">
        <v>47</v>
      </c>
      <c r="C43" s="4">
        <v>1491705</v>
      </c>
      <c r="D43" s="4">
        <v>1579490</v>
      </c>
      <c r="E43" s="3">
        <v>0.45600000000000002</v>
      </c>
    </row>
    <row r="44" spans="1:5" ht="15.75" thickBot="1" x14ac:dyDescent="0.3">
      <c r="A44" s="3">
        <v>360</v>
      </c>
      <c r="B44" s="3" t="s">
        <v>48</v>
      </c>
      <c r="C44" s="4">
        <v>2727482</v>
      </c>
      <c r="D44" s="4">
        <v>2888137</v>
      </c>
      <c r="E44" s="3">
        <v>0.83699999999999997</v>
      </c>
    </row>
    <row r="45" spans="1:5" ht="29.25" thickBot="1" x14ac:dyDescent="0.3">
      <c r="A45" s="3">
        <v>370</v>
      </c>
      <c r="B45" s="3" t="s">
        <v>49</v>
      </c>
      <c r="C45" s="4">
        <v>4184025</v>
      </c>
      <c r="D45" s="4">
        <v>4439237</v>
      </c>
      <c r="E45" s="3">
        <v>1.4650000000000001</v>
      </c>
    </row>
    <row r="46" spans="1:5" ht="29.25" thickBot="1" x14ac:dyDescent="0.3">
      <c r="A46" s="3">
        <v>376</v>
      </c>
      <c r="B46" s="3" t="s">
        <v>50</v>
      </c>
      <c r="C46" s="4">
        <v>3385034</v>
      </c>
      <c r="D46" s="4">
        <v>3586915</v>
      </c>
      <c r="E46" s="3">
        <v>1.133</v>
      </c>
    </row>
    <row r="47" spans="1:5" ht="29.25" thickBot="1" x14ac:dyDescent="0.3">
      <c r="A47" s="3">
        <v>390</v>
      </c>
      <c r="B47" s="3" t="s">
        <v>51</v>
      </c>
      <c r="C47" s="4">
        <v>2410064</v>
      </c>
      <c r="D47" s="4">
        <v>2556169</v>
      </c>
      <c r="E47" s="3">
        <v>0.82499999999999996</v>
      </c>
    </row>
    <row r="48" spans="1:5" ht="29.25" thickBot="1" x14ac:dyDescent="0.3">
      <c r="A48" s="3">
        <v>400</v>
      </c>
      <c r="B48" s="3" t="s">
        <v>52</v>
      </c>
      <c r="C48" s="4">
        <v>2230106</v>
      </c>
      <c r="D48" s="4">
        <v>2361778</v>
      </c>
      <c r="E48" s="3">
        <v>0.69099999999999995</v>
      </c>
    </row>
    <row r="49" spans="1:5" ht="29.25" thickBot="1" x14ac:dyDescent="0.3">
      <c r="A49" s="3">
        <v>410</v>
      </c>
      <c r="B49" s="3" t="s">
        <v>53</v>
      </c>
      <c r="C49" s="4">
        <v>1950701</v>
      </c>
      <c r="D49" s="4">
        <v>2068409</v>
      </c>
      <c r="E49" s="3">
        <v>0.65700000000000003</v>
      </c>
    </row>
    <row r="50" spans="1:5" ht="29.25" thickBot="1" x14ac:dyDescent="0.3">
      <c r="A50" s="3">
        <v>420</v>
      </c>
      <c r="B50" s="3" t="s">
        <v>54</v>
      </c>
      <c r="C50" s="4">
        <v>2150818</v>
      </c>
      <c r="D50" s="4">
        <v>2280010</v>
      </c>
      <c r="E50" s="3">
        <v>0.71199999999999997</v>
      </c>
    </row>
    <row r="51" spans="1:5" ht="43.5" thickBot="1" x14ac:dyDescent="0.3">
      <c r="A51" s="3">
        <v>430</v>
      </c>
      <c r="B51" s="3" t="s">
        <v>55</v>
      </c>
      <c r="C51" s="4">
        <v>2708267</v>
      </c>
      <c r="D51" s="4">
        <v>2870759</v>
      </c>
      <c r="E51" s="3">
        <v>0.89200000000000002</v>
      </c>
    </row>
    <row r="52" spans="1:5" ht="29.25" thickBot="1" x14ac:dyDescent="0.3">
      <c r="A52" s="3">
        <v>440</v>
      </c>
      <c r="B52" s="3" t="s">
        <v>56</v>
      </c>
      <c r="C52" s="4">
        <v>1265209</v>
      </c>
      <c r="D52" s="4">
        <v>1340769</v>
      </c>
      <c r="E52" s="3">
        <v>0.41</v>
      </c>
    </row>
    <row r="53" spans="1:5" ht="15.75" thickBot="1" x14ac:dyDescent="0.3">
      <c r="A53" s="3">
        <v>450</v>
      </c>
      <c r="B53" s="3" t="s">
        <v>57</v>
      </c>
      <c r="C53" s="4">
        <v>1743410</v>
      </c>
      <c r="D53" s="4">
        <v>1847841</v>
      </c>
      <c r="E53" s="3">
        <v>0.57099999999999995</v>
      </c>
    </row>
    <row r="54" spans="1:5" ht="29.25" thickBot="1" x14ac:dyDescent="0.3">
      <c r="A54" s="3">
        <v>461</v>
      </c>
      <c r="B54" s="3" t="s">
        <v>58</v>
      </c>
      <c r="C54" s="4">
        <v>9808504</v>
      </c>
      <c r="D54" s="4">
        <v>10411658</v>
      </c>
      <c r="E54" s="3">
        <v>3.5329999999999999</v>
      </c>
    </row>
    <row r="55" spans="1:5" ht="29.25" thickBot="1" x14ac:dyDescent="0.3">
      <c r="A55" s="3">
        <v>479</v>
      </c>
      <c r="B55" s="3" t="s">
        <v>59</v>
      </c>
      <c r="C55" s="4">
        <v>3081858</v>
      </c>
      <c r="D55" s="4">
        <v>3267132</v>
      </c>
      <c r="E55" s="3">
        <v>1.0229999999999999</v>
      </c>
    </row>
    <row r="56" spans="1:5" ht="29.25" thickBot="1" x14ac:dyDescent="0.3">
      <c r="A56" s="3">
        <v>480</v>
      </c>
      <c r="B56" s="3" t="s">
        <v>60</v>
      </c>
      <c r="C56" s="4">
        <v>1547758</v>
      </c>
      <c r="D56" s="4">
        <v>1640622</v>
      </c>
      <c r="E56" s="3">
        <v>0.51</v>
      </c>
    </row>
    <row r="57" spans="1:5" ht="29.25" thickBot="1" x14ac:dyDescent="0.3">
      <c r="A57" s="3">
        <v>482</v>
      </c>
      <c r="B57" s="3" t="s">
        <v>61</v>
      </c>
      <c r="C57" s="4">
        <v>791234</v>
      </c>
      <c r="D57" s="4">
        <v>837447</v>
      </c>
      <c r="E57" s="3">
        <v>0.23499999999999999</v>
      </c>
    </row>
    <row r="58" spans="1:5" ht="15.75" thickBot="1" x14ac:dyDescent="0.3">
      <c r="A58" s="3">
        <v>492</v>
      </c>
      <c r="B58" s="3" t="s">
        <v>62</v>
      </c>
      <c r="C58" s="4">
        <v>398225</v>
      </c>
      <c r="D58" s="4">
        <v>420980</v>
      </c>
      <c r="E58" s="3">
        <v>0.108</v>
      </c>
    </row>
    <row r="59" spans="1:5" ht="29.25" thickBot="1" x14ac:dyDescent="0.3">
      <c r="A59" s="3">
        <v>510</v>
      </c>
      <c r="B59" s="3" t="s">
        <v>63</v>
      </c>
      <c r="C59" s="4">
        <v>2938542</v>
      </c>
      <c r="D59" s="4">
        <v>3116115</v>
      </c>
      <c r="E59" s="3">
        <v>0.99399999999999999</v>
      </c>
    </row>
    <row r="60" spans="1:5" ht="15.75" thickBot="1" x14ac:dyDescent="0.3">
      <c r="A60" s="3">
        <v>530</v>
      </c>
      <c r="B60" s="3" t="s">
        <v>64</v>
      </c>
      <c r="C60" s="4">
        <v>1470950</v>
      </c>
      <c r="D60" s="4">
        <v>1558243</v>
      </c>
      <c r="E60" s="3">
        <v>0.46500000000000002</v>
      </c>
    </row>
    <row r="61" spans="1:5" ht="29.25" thickBot="1" x14ac:dyDescent="0.3">
      <c r="A61" s="3">
        <v>540</v>
      </c>
      <c r="B61" s="3" t="s">
        <v>65</v>
      </c>
      <c r="C61" s="4">
        <v>3965055</v>
      </c>
      <c r="D61" s="4">
        <v>4204139</v>
      </c>
      <c r="E61" s="3">
        <v>1.331</v>
      </c>
    </row>
    <row r="62" spans="1:5" ht="15.75" thickBot="1" x14ac:dyDescent="0.3">
      <c r="A62" s="3">
        <v>550</v>
      </c>
      <c r="B62" s="3" t="s">
        <v>66</v>
      </c>
      <c r="C62" s="4">
        <v>2021296</v>
      </c>
      <c r="D62" s="4">
        <v>2143088</v>
      </c>
      <c r="E62" s="3">
        <v>0.67700000000000005</v>
      </c>
    </row>
    <row r="63" spans="1:5" ht="29.25" thickBot="1" x14ac:dyDescent="0.3">
      <c r="A63" s="3">
        <v>561</v>
      </c>
      <c r="B63" s="3" t="s">
        <v>67</v>
      </c>
      <c r="C63" s="4">
        <v>5974117</v>
      </c>
      <c r="D63" s="4">
        <v>6334387</v>
      </c>
      <c r="E63" s="3">
        <v>2.0059999999999998</v>
      </c>
    </row>
    <row r="64" spans="1:5" ht="15.75" thickBot="1" x14ac:dyDescent="0.3">
      <c r="A64" s="3">
        <v>563</v>
      </c>
      <c r="B64" s="3" t="s">
        <v>68</v>
      </c>
      <c r="C64" s="4">
        <v>203930</v>
      </c>
      <c r="D64" s="4">
        <v>215501</v>
      </c>
      <c r="E64" s="3">
        <v>5.3999999999999999E-2</v>
      </c>
    </row>
    <row r="65" spans="1:5" ht="15.75" thickBot="1" x14ac:dyDescent="0.3">
      <c r="A65" s="3">
        <v>573</v>
      </c>
      <c r="B65" s="3" t="s">
        <v>69</v>
      </c>
      <c r="C65" s="4">
        <v>2526050</v>
      </c>
      <c r="D65" s="4">
        <v>2678764</v>
      </c>
      <c r="E65" s="3">
        <v>0.85599999999999998</v>
      </c>
    </row>
    <row r="66" spans="1:5" ht="15.75" thickBot="1" x14ac:dyDescent="0.3">
      <c r="A66" s="3">
        <v>575</v>
      </c>
      <c r="B66" s="3" t="s">
        <v>70</v>
      </c>
      <c r="C66" s="4">
        <v>2213962</v>
      </c>
      <c r="D66" s="4">
        <v>2346980</v>
      </c>
      <c r="E66" s="3">
        <v>0.73299999999999998</v>
      </c>
    </row>
    <row r="67" spans="1:5" ht="29.25" thickBot="1" x14ac:dyDescent="0.3">
      <c r="A67" s="3">
        <v>580</v>
      </c>
      <c r="B67" s="3" t="s">
        <v>71</v>
      </c>
      <c r="C67" s="4">
        <v>3164991</v>
      </c>
      <c r="D67" s="4">
        <v>3354784</v>
      </c>
      <c r="E67" s="3">
        <v>1.0409999999999999</v>
      </c>
    </row>
    <row r="68" spans="1:5" ht="29.25" thickBot="1" x14ac:dyDescent="0.3">
      <c r="A68" s="3">
        <v>607</v>
      </c>
      <c r="B68" s="3" t="s">
        <v>72</v>
      </c>
      <c r="C68" s="4">
        <v>2821124</v>
      </c>
      <c r="D68" s="4">
        <v>2990963</v>
      </c>
      <c r="E68" s="3">
        <v>0.94099999999999995</v>
      </c>
    </row>
    <row r="69" spans="1:5" ht="29.25" thickBot="1" x14ac:dyDescent="0.3">
      <c r="A69" s="3">
        <v>615</v>
      </c>
      <c r="B69" s="3" t="s">
        <v>73</v>
      </c>
      <c r="C69" s="4">
        <v>4691005</v>
      </c>
      <c r="D69" s="4">
        <v>4976207</v>
      </c>
      <c r="E69" s="3">
        <v>1.623</v>
      </c>
    </row>
    <row r="70" spans="1:5" ht="15.75" thickBot="1" x14ac:dyDescent="0.3">
      <c r="A70" s="3">
        <v>621</v>
      </c>
      <c r="B70" s="3" t="s">
        <v>74</v>
      </c>
      <c r="C70" s="4">
        <v>4636103</v>
      </c>
      <c r="D70" s="4">
        <v>4916959</v>
      </c>
      <c r="E70" s="3">
        <v>1.583</v>
      </c>
    </row>
    <row r="71" spans="1:5" ht="15.75" thickBot="1" x14ac:dyDescent="0.3">
      <c r="A71" s="3">
        <v>630</v>
      </c>
      <c r="B71" s="3" t="s">
        <v>75</v>
      </c>
      <c r="C71" s="4">
        <v>5507773</v>
      </c>
      <c r="D71" s="4">
        <v>5848289</v>
      </c>
      <c r="E71" s="3">
        <v>2.0219999999999998</v>
      </c>
    </row>
    <row r="72" spans="1:5" ht="29.25" thickBot="1" x14ac:dyDescent="0.3">
      <c r="A72" s="3">
        <v>657</v>
      </c>
      <c r="B72" s="3" t="s">
        <v>76</v>
      </c>
      <c r="C72" s="4">
        <v>4257576</v>
      </c>
      <c r="D72" s="4">
        <v>4516657</v>
      </c>
      <c r="E72" s="3">
        <v>1.478</v>
      </c>
    </row>
    <row r="73" spans="1:5" ht="29.25" thickBot="1" x14ac:dyDescent="0.3">
      <c r="A73" s="3">
        <v>661</v>
      </c>
      <c r="B73" s="3" t="s">
        <v>77</v>
      </c>
      <c r="C73" s="4">
        <v>2865858</v>
      </c>
      <c r="D73" s="4">
        <v>3038877</v>
      </c>
      <c r="E73" s="3">
        <v>0.96599999999999997</v>
      </c>
    </row>
    <row r="74" spans="1:5" ht="15.75" thickBot="1" x14ac:dyDescent="0.3">
      <c r="A74" s="3">
        <v>665</v>
      </c>
      <c r="B74" s="3" t="s">
        <v>78</v>
      </c>
      <c r="C74" s="4">
        <v>1038411</v>
      </c>
      <c r="D74" s="4">
        <v>1100222</v>
      </c>
      <c r="E74" s="3">
        <v>0.33200000000000002</v>
      </c>
    </row>
    <row r="75" spans="1:5" ht="15.75" thickBot="1" x14ac:dyDescent="0.3">
      <c r="A75" s="3">
        <v>671</v>
      </c>
      <c r="B75" s="3" t="s">
        <v>79</v>
      </c>
      <c r="C75" s="4">
        <v>1091125</v>
      </c>
      <c r="D75" s="4">
        <v>1156866</v>
      </c>
      <c r="E75" s="3">
        <v>0.36499999999999999</v>
      </c>
    </row>
    <row r="76" spans="1:5" ht="29.25" thickBot="1" x14ac:dyDescent="0.3">
      <c r="A76" s="3">
        <v>706</v>
      </c>
      <c r="B76" s="3" t="s">
        <v>80</v>
      </c>
      <c r="C76" s="4">
        <v>2208707</v>
      </c>
      <c r="D76" s="4">
        <v>2340825</v>
      </c>
      <c r="E76" s="3">
        <v>0.72</v>
      </c>
    </row>
    <row r="77" spans="1:5" ht="29.25" thickBot="1" x14ac:dyDescent="0.3">
      <c r="A77" s="3">
        <v>707</v>
      </c>
      <c r="B77" s="3" t="s">
        <v>81</v>
      </c>
      <c r="C77" s="4">
        <v>2033869</v>
      </c>
      <c r="D77" s="4">
        <v>2155915</v>
      </c>
      <c r="E77" s="3">
        <v>0.67100000000000004</v>
      </c>
    </row>
    <row r="78" spans="1:5" ht="29.25" thickBot="1" x14ac:dyDescent="0.3">
      <c r="A78" s="3">
        <v>710</v>
      </c>
      <c r="B78" s="3" t="s">
        <v>82</v>
      </c>
      <c r="C78" s="4">
        <v>2394682</v>
      </c>
      <c r="D78" s="4">
        <v>2537390</v>
      </c>
      <c r="E78" s="3">
        <v>0.76900000000000002</v>
      </c>
    </row>
    <row r="79" spans="1:5" ht="15.75" thickBot="1" x14ac:dyDescent="0.3">
      <c r="A79" s="3">
        <v>727</v>
      </c>
      <c r="B79" s="3" t="s">
        <v>83</v>
      </c>
      <c r="C79" s="4">
        <v>1135467</v>
      </c>
      <c r="D79" s="4">
        <v>1204216</v>
      </c>
      <c r="E79" s="3">
        <v>0.38700000000000001</v>
      </c>
    </row>
    <row r="80" spans="1:5" ht="29.25" thickBot="1" x14ac:dyDescent="0.3">
      <c r="A80" s="3">
        <v>730</v>
      </c>
      <c r="B80" s="3" t="s">
        <v>84</v>
      </c>
      <c r="C80" s="4">
        <v>4951692</v>
      </c>
      <c r="D80" s="4">
        <v>5254741</v>
      </c>
      <c r="E80" s="3">
        <v>1.754</v>
      </c>
    </row>
    <row r="81" spans="1:5" ht="29.25" thickBot="1" x14ac:dyDescent="0.3">
      <c r="A81" s="3">
        <v>740</v>
      </c>
      <c r="B81" s="3" t="s">
        <v>85</v>
      </c>
      <c r="C81" s="4">
        <v>4805241</v>
      </c>
      <c r="D81" s="4">
        <v>5094600</v>
      </c>
      <c r="E81" s="3">
        <v>1.605</v>
      </c>
    </row>
    <row r="82" spans="1:5" ht="15.75" thickBot="1" x14ac:dyDescent="0.3">
      <c r="A82" s="3">
        <v>741</v>
      </c>
      <c r="B82" s="3" t="s">
        <v>86</v>
      </c>
      <c r="C82" s="4">
        <v>267813</v>
      </c>
      <c r="D82" s="4">
        <v>282834</v>
      </c>
      <c r="E82" s="3">
        <v>6.7000000000000004E-2</v>
      </c>
    </row>
    <row r="83" spans="1:5" ht="29.25" thickBot="1" x14ac:dyDescent="0.3">
      <c r="A83" s="3">
        <v>746</v>
      </c>
      <c r="B83" s="3" t="s">
        <v>87</v>
      </c>
      <c r="C83" s="4">
        <v>3261400</v>
      </c>
      <c r="D83" s="4">
        <v>3453624</v>
      </c>
      <c r="E83" s="3">
        <v>1.004</v>
      </c>
    </row>
    <row r="84" spans="1:5" ht="15.75" thickBot="1" x14ac:dyDescent="0.3">
      <c r="A84" s="3">
        <v>751</v>
      </c>
      <c r="B84" s="3" t="s">
        <v>88</v>
      </c>
      <c r="C84" s="4">
        <v>16867999</v>
      </c>
      <c r="D84" s="4">
        <v>17890796</v>
      </c>
      <c r="E84" s="3">
        <v>5.7789999999999999</v>
      </c>
    </row>
    <row r="85" spans="1:5" ht="29.25" thickBot="1" x14ac:dyDescent="0.3">
      <c r="A85" s="3">
        <v>756</v>
      </c>
      <c r="B85" s="3" t="s">
        <v>89</v>
      </c>
      <c r="C85" s="4">
        <v>2031292</v>
      </c>
      <c r="D85" s="4">
        <v>2155304</v>
      </c>
      <c r="E85" s="3">
        <v>0.71299999999999997</v>
      </c>
    </row>
    <row r="86" spans="1:5" ht="43.5" thickBot="1" x14ac:dyDescent="0.3">
      <c r="A86" s="3">
        <v>760</v>
      </c>
      <c r="B86" s="3" t="s">
        <v>90</v>
      </c>
      <c r="C86" s="4">
        <v>2887467</v>
      </c>
      <c r="D86" s="4">
        <v>3060494</v>
      </c>
      <c r="E86" s="3">
        <v>0.94699999999999995</v>
      </c>
    </row>
    <row r="87" spans="1:5" ht="29.25" thickBot="1" x14ac:dyDescent="0.3">
      <c r="A87" s="3">
        <v>766</v>
      </c>
      <c r="B87" s="3" t="s">
        <v>91</v>
      </c>
      <c r="C87" s="4">
        <v>2325426</v>
      </c>
      <c r="D87" s="4">
        <v>2464706</v>
      </c>
      <c r="E87" s="3">
        <v>0.76100000000000001</v>
      </c>
    </row>
    <row r="88" spans="1:5" ht="15.75" thickBot="1" x14ac:dyDescent="0.3">
      <c r="A88" s="3">
        <v>773</v>
      </c>
      <c r="B88" s="3" t="s">
        <v>92</v>
      </c>
      <c r="C88" s="4">
        <v>1147731</v>
      </c>
      <c r="D88" s="4">
        <v>1215706</v>
      </c>
      <c r="E88" s="3">
        <v>0.36</v>
      </c>
    </row>
    <row r="89" spans="1:5" ht="15.75" thickBot="1" x14ac:dyDescent="0.3">
      <c r="A89" s="3">
        <v>779</v>
      </c>
      <c r="B89" s="3" t="s">
        <v>93</v>
      </c>
      <c r="C89" s="4">
        <v>2376934</v>
      </c>
      <c r="D89" s="4">
        <v>2520136</v>
      </c>
      <c r="E89" s="3">
        <v>0.79500000000000004</v>
      </c>
    </row>
    <row r="90" spans="1:5" ht="15.75" thickBot="1" x14ac:dyDescent="0.3">
      <c r="A90" s="3">
        <v>787</v>
      </c>
      <c r="B90" s="3" t="s">
        <v>94</v>
      </c>
      <c r="C90" s="4">
        <v>2259009</v>
      </c>
      <c r="D90" s="4">
        <v>2394935</v>
      </c>
      <c r="E90" s="3">
        <v>0.752</v>
      </c>
    </row>
    <row r="91" spans="1:5" ht="15.75" thickBot="1" x14ac:dyDescent="0.3">
      <c r="A91" s="3">
        <v>791</v>
      </c>
      <c r="B91" s="3" t="s">
        <v>95</v>
      </c>
      <c r="C91" s="4">
        <v>4661268</v>
      </c>
      <c r="D91" s="4">
        <v>4945548</v>
      </c>
      <c r="E91" s="3">
        <v>1.631</v>
      </c>
    </row>
    <row r="92" spans="1:5" ht="29.25" thickBot="1" x14ac:dyDescent="0.3">
      <c r="A92" s="3">
        <v>810</v>
      </c>
      <c r="B92" s="3" t="s">
        <v>96</v>
      </c>
      <c r="C92" s="4">
        <v>1991885</v>
      </c>
      <c r="D92" s="4">
        <v>2109738</v>
      </c>
      <c r="E92" s="3">
        <v>0.622</v>
      </c>
    </row>
    <row r="93" spans="1:5" ht="29.25" thickBot="1" x14ac:dyDescent="0.3">
      <c r="A93" s="3">
        <v>813</v>
      </c>
      <c r="B93" s="3" t="s">
        <v>97</v>
      </c>
      <c r="C93" s="4">
        <v>3095730</v>
      </c>
      <c r="D93" s="4">
        <v>3282980</v>
      </c>
      <c r="E93" s="3">
        <v>1.0509999999999999</v>
      </c>
    </row>
    <row r="94" spans="1:5" ht="43.5" thickBot="1" x14ac:dyDescent="0.3">
      <c r="A94" s="3">
        <v>820</v>
      </c>
      <c r="B94" s="3" t="s">
        <v>98</v>
      </c>
      <c r="C94" s="4">
        <v>2036831</v>
      </c>
      <c r="D94" s="4">
        <v>2158267</v>
      </c>
      <c r="E94" s="3">
        <v>0.65500000000000003</v>
      </c>
    </row>
    <row r="95" spans="1:5" ht="15.75" thickBot="1" x14ac:dyDescent="0.3">
      <c r="A95" s="3">
        <v>825</v>
      </c>
      <c r="B95" s="3" t="s">
        <v>99</v>
      </c>
      <c r="C95" s="4">
        <v>155058</v>
      </c>
      <c r="D95" s="4">
        <v>163480</v>
      </c>
      <c r="E95" s="3">
        <v>3.3000000000000002E-2</v>
      </c>
    </row>
    <row r="96" spans="1:5" ht="15.75" thickBot="1" x14ac:dyDescent="0.3">
      <c r="A96" s="3">
        <v>840</v>
      </c>
      <c r="B96" s="3" t="s">
        <v>100</v>
      </c>
      <c r="C96" s="4">
        <v>1520118</v>
      </c>
      <c r="D96" s="4">
        <v>1610836</v>
      </c>
      <c r="E96" s="3">
        <v>0.49099999999999999</v>
      </c>
    </row>
    <row r="97" spans="1:5" ht="29.25" thickBot="1" x14ac:dyDescent="0.3">
      <c r="A97" s="3">
        <v>846</v>
      </c>
      <c r="B97" s="3" t="s">
        <v>101</v>
      </c>
      <c r="C97" s="4">
        <v>2188516</v>
      </c>
      <c r="D97" s="4">
        <v>2319670</v>
      </c>
      <c r="E97" s="3">
        <v>0.71799999999999997</v>
      </c>
    </row>
    <row r="98" spans="1:5" ht="29.25" thickBot="1" x14ac:dyDescent="0.3">
      <c r="A98" s="3">
        <v>849</v>
      </c>
      <c r="B98" s="3" t="s">
        <v>102</v>
      </c>
      <c r="C98" s="4">
        <v>2032270</v>
      </c>
      <c r="D98" s="4">
        <v>2153349</v>
      </c>
      <c r="E98" s="3">
        <v>0.65200000000000002</v>
      </c>
    </row>
    <row r="99" spans="1:5" ht="29.25" thickBot="1" x14ac:dyDescent="0.3">
      <c r="A99" s="3">
        <v>851</v>
      </c>
      <c r="B99" s="3" t="s">
        <v>103</v>
      </c>
      <c r="C99" s="4">
        <v>10748197</v>
      </c>
      <c r="D99" s="4">
        <v>11397227</v>
      </c>
      <c r="E99" s="3">
        <v>3.6269999999999998</v>
      </c>
    </row>
    <row r="100" spans="1:5" ht="29.25" thickBot="1" x14ac:dyDescent="0.3">
      <c r="A100" s="3">
        <v>860</v>
      </c>
      <c r="B100" s="3" t="s">
        <v>104</v>
      </c>
      <c r="C100" s="4">
        <v>3521248</v>
      </c>
      <c r="D100" s="4">
        <v>3730068</v>
      </c>
      <c r="E100" s="3">
        <v>1.1100000000000001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EA37-10A8-48A7-99E7-7BFD0D425055}">
  <dimension ref="A1:S100"/>
  <sheetViews>
    <sheetView topLeftCell="H1" workbookViewId="0">
      <selection activeCell="Q2" sqref="Q2"/>
    </sheetView>
  </sheetViews>
  <sheetFormatPr defaultRowHeight="15" x14ac:dyDescent="0.25"/>
  <cols>
    <col min="10" max="10" width="11.42578125" bestFit="1" customWidth="1"/>
    <col min="16" max="16" width="18.140625" bestFit="1" customWidth="1"/>
    <col min="17" max="17" width="10" bestFit="1" customWidth="1"/>
  </cols>
  <sheetData>
    <row r="1" spans="1:19" x14ac:dyDescent="0.25">
      <c r="A1" t="s">
        <v>1</v>
      </c>
      <c r="B1" t="s">
        <v>140</v>
      </c>
      <c r="C1" t="s">
        <v>141</v>
      </c>
      <c r="D1" t="s">
        <v>142</v>
      </c>
      <c r="E1" t="s">
        <v>116</v>
      </c>
      <c r="F1" t="s">
        <v>117</v>
      </c>
      <c r="G1" t="s">
        <v>128</v>
      </c>
      <c r="H1" t="s">
        <v>125</v>
      </c>
      <c r="I1" t="s">
        <v>121</v>
      </c>
      <c r="J1" t="s">
        <v>143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  <c r="P1" t="s">
        <v>136</v>
      </c>
      <c r="Q1" t="s">
        <v>175</v>
      </c>
    </row>
    <row r="2" spans="1:19" x14ac:dyDescent="0.25">
      <c r="A2" t="s">
        <v>16</v>
      </c>
      <c r="B2">
        <v>2826726</v>
      </c>
      <c r="C2">
        <v>900736</v>
      </c>
      <c r="D2">
        <v>-151323</v>
      </c>
      <c r="E2">
        <v>313</v>
      </c>
      <c r="F2">
        <v>0</v>
      </c>
      <c r="G2">
        <v>2077000</v>
      </c>
      <c r="H2">
        <v>28201</v>
      </c>
      <c r="I2">
        <v>73649.870569999999</v>
      </c>
      <c r="J2">
        <v>2045515.3</v>
      </c>
      <c r="K2">
        <v>31484.7</v>
      </c>
      <c r="L2">
        <v>1.6</v>
      </c>
      <c r="M2">
        <v>71832.399999999994</v>
      </c>
      <c r="N2">
        <v>1817.5</v>
      </c>
      <c r="O2">
        <v>2.5</v>
      </c>
      <c r="P2" s="20">
        <v>2058406</v>
      </c>
      <c r="Q2" s="20">
        <f t="shared" ref="Q2:Q65" si="0">G2-P2</f>
        <v>18594</v>
      </c>
      <c r="R2" t="s">
        <v>173</v>
      </c>
      <c r="S2">
        <f>COUNTIF(Q2:Q100,"&gt;0")</f>
        <v>40</v>
      </c>
    </row>
    <row r="3" spans="1:19" x14ac:dyDescent="0.25">
      <c r="A3" t="s">
        <v>25</v>
      </c>
      <c r="B3">
        <v>1912668</v>
      </c>
      <c r="C3">
        <v>433396</v>
      </c>
      <c r="D3">
        <v>-106979</v>
      </c>
      <c r="E3">
        <v>0</v>
      </c>
      <c r="F3">
        <v>0</v>
      </c>
      <c r="G3">
        <v>1586251</v>
      </c>
      <c r="H3">
        <v>26102</v>
      </c>
      <c r="I3">
        <v>60771.243580000002</v>
      </c>
      <c r="J3">
        <v>1568072.6</v>
      </c>
      <c r="K3">
        <v>18178.400000000001</v>
      </c>
      <c r="L3">
        <v>1.2</v>
      </c>
      <c r="M3">
        <v>58589.5</v>
      </c>
      <c r="N3">
        <v>2181.8000000000002</v>
      </c>
      <c r="O3">
        <v>3.7</v>
      </c>
      <c r="P3" s="20">
        <v>1576803</v>
      </c>
      <c r="Q3" s="20">
        <f t="shared" si="0"/>
        <v>9448</v>
      </c>
      <c r="R3" t="s">
        <v>174</v>
      </c>
      <c r="S3">
        <f>COUNTIF(Q2:Q100,"&lt;0")</f>
        <v>58</v>
      </c>
    </row>
    <row r="4" spans="1:19" x14ac:dyDescent="0.25">
      <c r="A4" t="s">
        <v>54</v>
      </c>
      <c r="B4">
        <v>3422683</v>
      </c>
      <c r="C4">
        <v>1308511</v>
      </c>
      <c r="D4">
        <v>-214493</v>
      </c>
      <c r="E4">
        <v>0</v>
      </c>
      <c r="F4">
        <v>0</v>
      </c>
      <c r="G4">
        <v>2328665</v>
      </c>
      <c r="H4">
        <v>40406</v>
      </c>
      <c r="I4">
        <v>57631.663610000003</v>
      </c>
      <c r="J4">
        <v>2311979.4</v>
      </c>
      <c r="K4">
        <v>16685.599999999999</v>
      </c>
      <c r="L4">
        <v>0.7</v>
      </c>
      <c r="M4">
        <v>55260.3</v>
      </c>
      <c r="N4">
        <v>2371.4</v>
      </c>
      <c r="O4">
        <v>4.3</v>
      </c>
      <c r="P4" s="20">
        <v>2329249</v>
      </c>
      <c r="Q4" s="20">
        <f t="shared" si="0"/>
        <v>-584</v>
      </c>
    </row>
    <row r="5" spans="1:19" x14ac:dyDescent="0.25">
      <c r="A5" t="s">
        <v>9</v>
      </c>
      <c r="B5">
        <v>5056824</v>
      </c>
      <c r="C5">
        <v>1551181</v>
      </c>
      <c r="D5">
        <v>-244317</v>
      </c>
      <c r="E5">
        <v>1780</v>
      </c>
      <c r="F5">
        <v>0</v>
      </c>
      <c r="G5">
        <v>3748180</v>
      </c>
      <c r="H5">
        <v>53602</v>
      </c>
      <c r="I5">
        <v>69926.122159999999</v>
      </c>
      <c r="J5">
        <v>3687915.9</v>
      </c>
      <c r="K5">
        <v>60264.1</v>
      </c>
      <c r="L5">
        <v>1.7</v>
      </c>
      <c r="M5">
        <v>69189.5</v>
      </c>
      <c r="N5">
        <v>736.6</v>
      </c>
      <c r="O5">
        <v>1.1000000000000001</v>
      </c>
      <c r="P5" s="20">
        <v>3709717</v>
      </c>
      <c r="Q5" s="20">
        <f t="shared" si="0"/>
        <v>38463</v>
      </c>
    </row>
    <row r="6" spans="1:19" x14ac:dyDescent="0.25">
      <c r="A6" t="s">
        <v>64</v>
      </c>
      <c r="B6">
        <v>2295847</v>
      </c>
      <c r="C6">
        <v>813673</v>
      </c>
      <c r="D6">
        <v>-135623</v>
      </c>
      <c r="E6">
        <v>0</v>
      </c>
      <c r="F6">
        <v>0</v>
      </c>
      <c r="G6">
        <v>1617797</v>
      </c>
      <c r="H6">
        <v>27254</v>
      </c>
      <c r="I6">
        <v>59359.98386</v>
      </c>
      <c r="J6">
        <v>1606620.7</v>
      </c>
      <c r="K6">
        <v>11176.3</v>
      </c>
      <c r="L6">
        <v>0.7</v>
      </c>
      <c r="M6">
        <v>57362.6</v>
      </c>
      <c r="N6">
        <v>1997.4</v>
      </c>
      <c r="O6">
        <v>3.5</v>
      </c>
      <c r="P6" s="20">
        <v>1617714</v>
      </c>
      <c r="Q6" s="20">
        <f t="shared" si="0"/>
        <v>83</v>
      </c>
    </row>
    <row r="7" spans="1:19" x14ac:dyDescent="0.25">
      <c r="A7" t="s">
        <v>52</v>
      </c>
      <c r="B7">
        <v>3558834</v>
      </c>
      <c r="C7">
        <v>1362789</v>
      </c>
      <c r="D7">
        <v>-224718</v>
      </c>
      <c r="E7">
        <v>248</v>
      </c>
      <c r="F7">
        <v>0</v>
      </c>
      <c r="G7">
        <v>2420515</v>
      </c>
      <c r="H7">
        <v>38798</v>
      </c>
      <c r="I7">
        <v>62387.623070000001</v>
      </c>
      <c r="J7">
        <v>2402566.1</v>
      </c>
      <c r="K7">
        <v>17948.900000000001</v>
      </c>
      <c r="L7">
        <v>0.8</v>
      </c>
      <c r="M7">
        <v>59398.6</v>
      </c>
      <c r="N7">
        <v>2989</v>
      </c>
      <c r="O7">
        <v>5</v>
      </c>
      <c r="P7" s="20">
        <v>2418842</v>
      </c>
      <c r="Q7" s="20">
        <f t="shared" si="0"/>
        <v>1673</v>
      </c>
    </row>
    <row r="8" spans="1:19" x14ac:dyDescent="0.25">
      <c r="A8" t="s">
        <v>10</v>
      </c>
      <c r="B8">
        <v>3707426</v>
      </c>
      <c r="C8">
        <v>1266173</v>
      </c>
      <c r="D8">
        <v>-220830</v>
      </c>
      <c r="E8">
        <v>377</v>
      </c>
      <c r="F8">
        <v>0</v>
      </c>
      <c r="G8">
        <v>2661706</v>
      </c>
      <c r="H8">
        <v>41309</v>
      </c>
      <c r="I8">
        <v>64434.045850000002</v>
      </c>
      <c r="J8">
        <v>2610488.9</v>
      </c>
      <c r="K8">
        <v>51217.1</v>
      </c>
      <c r="L8">
        <v>2</v>
      </c>
      <c r="M8">
        <v>63755.8</v>
      </c>
      <c r="N8">
        <v>678.3</v>
      </c>
      <c r="O8">
        <v>1.1000000000000001</v>
      </c>
      <c r="P8" s="20">
        <v>2629725</v>
      </c>
      <c r="Q8" s="20">
        <f t="shared" si="0"/>
        <v>31981</v>
      </c>
    </row>
    <row r="9" spans="1:19" x14ac:dyDescent="0.25">
      <c r="A9" t="s">
        <v>96</v>
      </c>
      <c r="B9">
        <v>3041252</v>
      </c>
      <c r="C9">
        <v>1109522</v>
      </c>
      <c r="D9">
        <v>-204970</v>
      </c>
      <c r="E9">
        <v>0</v>
      </c>
      <c r="F9">
        <v>0</v>
      </c>
      <c r="G9">
        <v>2136700</v>
      </c>
      <c r="H9">
        <v>36778</v>
      </c>
      <c r="I9">
        <v>58097.232040000003</v>
      </c>
      <c r="J9">
        <v>2130931.6</v>
      </c>
      <c r="K9">
        <v>5768.4</v>
      </c>
      <c r="L9">
        <v>0.3</v>
      </c>
      <c r="M9">
        <v>56406.8</v>
      </c>
      <c r="N9">
        <v>1690.4</v>
      </c>
      <c r="O9">
        <v>3</v>
      </c>
      <c r="P9" s="20">
        <v>2146067</v>
      </c>
      <c r="Q9" s="20">
        <f t="shared" si="0"/>
        <v>-9367</v>
      </c>
    </row>
    <row r="10" spans="1:19" x14ac:dyDescent="0.25">
      <c r="A10" s="23" t="s">
        <v>11</v>
      </c>
      <c r="B10" s="23">
        <v>1053631</v>
      </c>
      <c r="C10" s="23">
        <v>251476</v>
      </c>
      <c r="D10" s="23">
        <v>-43659</v>
      </c>
      <c r="E10" s="23">
        <v>0</v>
      </c>
      <c r="F10" s="23">
        <v>0</v>
      </c>
      <c r="G10" s="23">
        <v>845814</v>
      </c>
      <c r="H10" s="23">
        <v>14374</v>
      </c>
      <c r="I10" s="23">
        <v>58843.328229999999</v>
      </c>
      <c r="J10" s="23">
        <v>823669</v>
      </c>
      <c r="K10" s="23">
        <v>22145</v>
      </c>
      <c r="L10" s="23">
        <v>2.8</v>
      </c>
      <c r="M10" s="23">
        <v>55020.9</v>
      </c>
      <c r="N10" s="23">
        <v>3822.5</v>
      </c>
      <c r="O10" s="23">
        <v>6.9</v>
      </c>
      <c r="P10" s="24">
        <v>828964</v>
      </c>
      <c r="Q10" s="20">
        <f>G10-P10</f>
        <v>16850</v>
      </c>
    </row>
    <row r="11" spans="1:19" x14ac:dyDescent="0.25">
      <c r="A11" t="s">
        <v>31</v>
      </c>
      <c r="B11">
        <v>3234397</v>
      </c>
      <c r="C11">
        <v>861459</v>
      </c>
      <c r="D11">
        <v>-187404</v>
      </c>
      <c r="E11">
        <v>0</v>
      </c>
      <c r="F11">
        <v>0</v>
      </c>
      <c r="G11">
        <v>2560342</v>
      </c>
      <c r="H11">
        <v>45905</v>
      </c>
      <c r="I11">
        <v>55774.795769999997</v>
      </c>
      <c r="J11">
        <v>2544464.7000000002</v>
      </c>
      <c r="K11">
        <v>15877.3</v>
      </c>
      <c r="L11">
        <v>0.6</v>
      </c>
      <c r="M11">
        <v>53815</v>
      </c>
      <c r="N11">
        <v>1959.7</v>
      </c>
      <c r="O11">
        <v>3.6</v>
      </c>
      <c r="P11" s="20">
        <v>2560528</v>
      </c>
      <c r="Q11" s="20">
        <f t="shared" si="0"/>
        <v>-186</v>
      </c>
    </row>
    <row r="12" spans="1:19" x14ac:dyDescent="0.25">
      <c r="A12" t="s">
        <v>67</v>
      </c>
      <c r="B12">
        <v>9437403</v>
      </c>
      <c r="C12">
        <v>3512678</v>
      </c>
      <c r="D12">
        <v>-631121</v>
      </c>
      <c r="E12">
        <v>0</v>
      </c>
      <c r="F12">
        <v>0</v>
      </c>
      <c r="G12">
        <v>6555846</v>
      </c>
      <c r="H12">
        <v>115123</v>
      </c>
      <c r="I12">
        <v>56946.448579999997</v>
      </c>
      <c r="J12">
        <v>6481551.5999999996</v>
      </c>
      <c r="K12">
        <v>74294.399999999994</v>
      </c>
      <c r="L12">
        <v>1.2</v>
      </c>
      <c r="M12">
        <v>54445.599999999999</v>
      </c>
      <c r="N12">
        <v>2500.9</v>
      </c>
      <c r="O12">
        <v>4.5999999999999996</v>
      </c>
      <c r="P12" s="20">
        <v>6530593</v>
      </c>
      <c r="Q12" s="20">
        <f t="shared" si="0"/>
        <v>25253</v>
      </c>
    </row>
    <row r="13" spans="1:19" x14ac:dyDescent="0.25">
      <c r="A13" t="s">
        <v>68</v>
      </c>
      <c r="B13">
        <v>286558</v>
      </c>
      <c r="C13">
        <v>75779</v>
      </c>
      <c r="D13">
        <v>-9747</v>
      </c>
      <c r="E13">
        <v>0</v>
      </c>
      <c r="F13">
        <v>0</v>
      </c>
      <c r="G13">
        <v>220526</v>
      </c>
      <c r="H13">
        <v>3234</v>
      </c>
      <c r="I13">
        <v>68189.857759999999</v>
      </c>
      <c r="J13">
        <v>219001.9</v>
      </c>
      <c r="K13">
        <v>1524.1</v>
      </c>
      <c r="L13">
        <v>0.7</v>
      </c>
      <c r="M13">
        <v>63923.3</v>
      </c>
      <c r="N13">
        <v>4266.6000000000004</v>
      </c>
      <c r="O13">
        <v>6.7</v>
      </c>
      <c r="P13" s="20">
        <v>220174</v>
      </c>
      <c r="Q13" s="20">
        <f t="shared" si="0"/>
        <v>352</v>
      </c>
    </row>
    <row r="14" spans="1:19" x14ac:dyDescent="0.25">
      <c r="A14" t="s">
        <v>82</v>
      </c>
      <c r="B14">
        <v>3507331</v>
      </c>
      <c r="C14">
        <v>1150547</v>
      </c>
      <c r="D14">
        <v>-260620</v>
      </c>
      <c r="E14">
        <v>0</v>
      </c>
      <c r="F14">
        <v>0</v>
      </c>
      <c r="G14">
        <v>2617404</v>
      </c>
      <c r="H14">
        <v>49560</v>
      </c>
      <c r="I14">
        <v>52812.832929999997</v>
      </c>
      <c r="J14">
        <v>2603879.2000000002</v>
      </c>
      <c r="K14">
        <v>13524.8</v>
      </c>
      <c r="L14">
        <v>0.5</v>
      </c>
      <c r="M14">
        <v>50990</v>
      </c>
      <c r="N14">
        <v>1822.8</v>
      </c>
      <c r="O14">
        <v>3.6</v>
      </c>
      <c r="P14" s="20">
        <v>2622368</v>
      </c>
      <c r="Q14" s="20">
        <f t="shared" si="0"/>
        <v>-4964</v>
      </c>
    </row>
    <row r="15" spans="1:19" x14ac:dyDescent="0.25">
      <c r="A15" t="s">
        <v>41</v>
      </c>
      <c r="B15">
        <v>2999905</v>
      </c>
      <c r="C15">
        <v>1127430</v>
      </c>
      <c r="D15">
        <v>-273851</v>
      </c>
      <c r="E15">
        <v>83</v>
      </c>
      <c r="F15">
        <v>0</v>
      </c>
      <c r="G15">
        <v>2146243</v>
      </c>
      <c r="H15">
        <v>37994</v>
      </c>
      <c r="I15">
        <v>56488.99826</v>
      </c>
      <c r="J15">
        <v>2123849.7000000002</v>
      </c>
      <c r="K15">
        <v>22393.3</v>
      </c>
      <c r="L15">
        <v>1.1000000000000001</v>
      </c>
      <c r="M15">
        <v>54327.5</v>
      </c>
      <c r="N15">
        <v>2161.5</v>
      </c>
      <c r="O15">
        <v>4</v>
      </c>
      <c r="P15" s="20">
        <v>2139392</v>
      </c>
      <c r="Q15" s="20">
        <f t="shared" si="0"/>
        <v>6851</v>
      </c>
    </row>
    <row r="16" spans="1:19" x14ac:dyDescent="0.25">
      <c r="A16" t="s">
        <v>26</v>
      </c>
      <c r="B16">
        <v>3305971</v>
      </c>
      <c r="C16">
        <v>873337</v>
      </c>
      <c r="D16">
        <v>-163605</v>
      </c>
      <c r="E16">
        <v>0</v>
      </c>
      <c r="F16">
        <v>0</v>
      </c>
      <c r="G16">
        <v>2596239</v>
      </c>
      <c r="H16">
        <v>42389</v>
      </c>
      <c r="I16">
        <v>61247.941680000004</v>
      </c>
      <c r="J16">
        <v>2579909.4</v>
      </c>
      <c r="K16">
        <v>16329.6</v>
      </c>
      <c r="L16">
        <v>0.7</v>
      </c>
      <c r="M16">
        <v>59309.7</v>
      </c>
      <c r="N16">
        <v>1938.2</v>
      </c>
      <c r="O16">
        <v>3.3</v>
      </c>
      <c r="P16" s="20">
        <v>2596289</v>
      </c>
      <c r="Q16" s="20">
        <f t="shared" si="0"/>
        <v>-50</v>
      </c>
    </row>
    <row r="17" spans="1:17" x14ac:dyDescent="0.25">
      <c r="A17" t="s">
        <v>72</v>
      </c>
      <c r="B17">
        <v>4518653</v>
      </c>
      <c r="C17">
        <v>1680759</v>
      </c>
      <c r="D17">
        <v>-304628</v>
      </c>
      <c r="E17">
        <v>0</v>
      </c>
      <c r="F17">
        <v>0</v>
      </c>
      <c r="G17">
        <v>3142522</v>
      </c>
      <c r="H17">
        <v>52871</v>
      </c>
      <c r="I17">
        <v>59437.536650000002</v>
      </c>
      <c r="J17">
        <v>3132921.4</v>
      </c>
      <c r="K17">
        <v>9600.6</v>
      </c>
      <c r="L17">
        <v>0.3</v>
      </c>
      <c r="M17">
        <v>57689.2</v>
      </c>
      <c r="N17">
        <v>1748.3</v>
      </c>
      <c r="O17">
        <v>3</v>
      </c>
      <c r="P17" s="20">
        <v>3156068</v>
      </c>
      <c r="Q17" s="20">
        <f t="shared" si="0"/>
        <v>-13546</v>
      </c>
    </row>
    <row r="18" spans="1:17" x14ac:dyDescent="0.25">
      <c r="A18" t="s">
        <v>8</v>
      </c>
      <c r="B18">
        <v>7118459</v>
      </c>
      <c r="C18">
        <v>2213651</v>
      </c>
      <c r="D18">
        <v>-322120</v>
      </c>
      <c r="E18">
        <v>0</v>
      </c>
      <c r="F18">
        <v>10272</v>
      </c>
      <c r="G18">
        <v>5216656</v>
      </c>
      <c r="H18">
        <v>105899</v>
      </c>
      <c r="I18">
        <v>49260.672910000001</v>
      </c>
      <c r="J18">
        <v>5178779</v>
      </c>
      <c r="K18">
        <v>37877</v>
      </c>
      <c r="L18">
        <v>0.8</v>
      </c>
      <c r="M18">
        <v>47985.4</v>
      </c>
      <c r="N18">
        <v>1275.3</v>
      </c>
      <c r="O18">
        <v>2.7</v>
      </c>
      <c r="P18" s="20">
        <v>5216664</v>
      </c>
      <c r="Q18" s="20">
        <f t="shared" si="0"/>
        <v>-8</v>
      </c>
    </row>
    <row r="19" spans="1:17" x14ac:dyDescent="0.25">
      <c r="A19" t="s">
        <v>97</v>
      </c>
      <c r="B19">
        <v>4926064</v>
      </c>
      <c r="C19">
        <v>2047386</v>
      </c>
      <c r="D19">
        <v>-384921</v>
      </c>
      <c r="E19">
        <v>1700</v>
      </c>
      <c r="F19">
        <v>0</v>
      </c>
      <c r="G19">
        <v>3261899</v>
      </c>
      <c r="H19">
        <v>57611</v>
      </c>
      <c r="I19">
        <v>56619.378239999998</v>
      </c>
      <c r="J19">
        <v>3289262.2</v>
      </c>
      <c r="K19">
        <v>-27363.200000000001</v>
      </c>
      <c r="L19">
        <v>-0.9</v>
      </c>
      <c r="M19">
        <v>54958.8</v>
      </c>
      <c r="N19">
        <v>1660.5</v>
      </c>
      <c r="O19">
        <v>3</v>
      </c>
      <c r="P19" s="20">
        <v>3314985</v>
      </c>
      <c r="Q19" s="20">
        <f t="shared" si="0"/>
        <v>-53086</v>
      </c>
    </row>
    <row r="20" spans="1:17" x14ac:dyDescent="0.25">
      <c r="A20" t="s">
        <v>32</v>
      </c>
      <c r="B20">
        <v>3700087</v>
      </c>
      <c r="C20">
        <v>1173293</v>
      </c>
      <c r="D20">
        <v>-234209</v>
      </c>
      <c r="E20">
        <v>0</v>
      </c>
      <c r="F20">
        <v>0</v>
      </c>
      <c r="G20">
        <v>2761003</v>
      </c>
      <c r="H20">
        <v>47367</v>
      </c>
      <c r="I20">
        <v>58289.589800000002</v>
      </c>
      <c r="J20">
        <v>2743014.7</v>
      </c>
      <c r="K20">
        <v>17988.3</v>
      </c>
      <c r="L20">
        <v>0.7</v>
      </c>
      <c r="M20">
        <v>57127.4</v>
      </c>
      <c r="N20">
        <v>1162.2</v>
      </c>
      <c r="O20">
        <v>2</v>
      </c>
      <c r="P20" s="20">
        <v>2761000</v>
      </c>
      <c r="Q20" s="20">
        <f t="shared" si="0"/>
        <v>3</v>
      </c>
    </row>
    <row r="21" spans="1:17" x14ac:dyDescent="0.25">
      <c r="A21" t="s">
        <v>24</v>
      </c>
      <c r="B21">
        <v>3191581</v>
      </c>
      <c r="C21">
        <v>812380</v>
      </c>
      <c r="D21">
        <v>-152378</v>
      </c>
      <c r="E21">
        <v>0</v>
      </c>
      <c r="F21">
        <v>0</v>
      </c>
      <c r="G21">
        <v>2531579</v>
      </c>
      <c r="H21">
        <v>42809</v>
      </c>
      <c r="I21">
        <v>59136.606789999998</v>
      </c>
      <c r="J21">
        <v>2564513.5</v>
      </c>
      <c r="K21">
        <v>-32934.5</v>
      </c>
      <c r="L21">
        <v>-1.3</v>
      </c>
      <c r="M21">
        <v>58193.1</v>
      </c>
      <c r="N21">
        <v>943.6</v>
      </c>
      <c r="O21">
        <v>1.6</v>
      </c>
      <c r="P21" s="20">
        <v>2580521</v>
      </c>
      <c r="Q21" s="20">
        <f t="shared" si="0"/>
        <v>-48942</v>
      </c>
    </row>
    <row r="22" spans="1:17" x14ac:dyDescent="0.25">
      <c r="A22" t="s">
        <v>55</v>
      </c>
      <c r="B22">
        <v>4317470</v>
      </c>
      <c r="C22">
        <v>1616117</v>
      </c>
      <c r="D22">
        <v>-292965</v>
      </c>
      <c r="E22">
        <v>0</v>
      </c>
      <c r="F22">
        <v>789</v>
      </c>
      <c r="G22">
        <v>2993529</v>
      </c>
      <c r="H22">
        <v>52374</v>
      </c>
      <c r="I22">
        <v>57156.776259999999</v>
      </c>
      <c r="J22">
        <v>2956263.6</v>
      </c>
      <c r="K22">
        <v>37265.4</v>
      </c>
      <c r="L22">
        <v>1.3</v>
      </c>
      <c r="M22">
        <v>54706.3</v>
      </c>
      <c r="N22">
        <v>2450.5</v>
      </c>
      <c r="O22">
        <v>4.5</v>
      </c>
      <c r="P22" s="20">
        <v>2977992</v>
      </c>
      <c r="Q22" s="20">
        <f t="shared" si="0"/>
        <v>15537</v>
      </c>
    </row>
    <row r="23" spans="1:17" x14ac:dyDescent="0.25">
      <c r="A23" t="s">
        <v>12</v>
      </c>
      <c r="B23">
        <v>5449719</v>
      </c>
      <c r="C23">
        <v>1174681</v>
      </c>
      <c r="D23">
        <v>-226714</v>
      </c>
      <c r="E23">
        <v>1110</v>
      </c>
      <c r="F23">
        <v>-1</v>
      </c>
      <c r="G23">
        <v>4500643</v>
      </c>
      <c r="H23">
        <v>74897</v>
      </c>
      <c r="I23">
        <v>60091.098440000002</v>
      </c>
      <c r="J23">
        <v>4474568.9000000004</v>
      </c>
      <c r="K23">
        <v>26074.1</v>
      </c>
      <c r="L23">
        <v>0.6</v>
      </c>
      <c r="M23">
        <v>58053.599999999999</v>
      </c>
      <c r="N23">
        <v>2037.5</v>
      </c>
      <c r="O23">
        <v>3.5</v>
      </c>
      <c r="P23" s="20">
        <v>4500668</v>
      </c>
      <c r="Q23" s="20">
        <f t="shared" si="0"/>
        <v>-25</v>
      </c>
    </row>
    <row r="24" spans="1:17" x14ac:dyDescent="0.25">
      <c r="A24" t="s">
        <v>13</v>
      </c>
      <c r="B24">
        <v>5758602</v>
      </c>
      <c r="C24">
        <v>1568413</v>
      </c>
      <c r="D24">
        <v>-277783</v>
      </c>
      <c r="E24">
        <v>1716</v>
      </c>
      <c r="F24">
        <v>256</v>
      </c>
      <c r="G24">
        <v>4466000</v>
      </c>
      <c r="H24">
        <v>71259</v>
      </c>
      <c r="I24">
        <v>62672.785190000002</v>
      </c>
      <c r="J24">
        <v>4438485.9000000004</v>
      </c>
      <c r="K24">
        <v>27514.1</v>
      </c>
      <c r="L24">
        <v>0.6</v>
      </c>
      <c r="M24">
        <v>60796.9</v>
      </c>
      <c r="N24">
        <v>1875.9</v>
      </c>
      <c r="O24">
        <v>3.1</v>
      </c>
      <c r="P24" s="20">
        <v>4467013</v>
      </c>
      <c r="Q24" s="20">
        <f t="shared" si="0"/>
        <v>-1013</v>
      </c>
    </row>
    <row r="25" spans="1:17" x14ac:dyDescent="0.25">
      <c r="A25" t="s">
        <v>14</v>
      </c>
      <c r="B25">
        <v>2060862</v>
      </c>
      <c r="C25">
        <v>659875</v>
      </c>
      <c r="D25">
        <v>-105784</v>
      </c>
      <c r="E25">
        <v>0</v>
      </c>
      <c r="F25">
        <v>0</v>
      </c>
      <c r="G25">
        <v>1506771</v>
      </c>
      <c r="H25">
        <v>25069</v>
      </c>
      <c r="I25">
        <v>60104.950340000003</v>
      </c>
      <c r="J25">
        <v>1472086.5</v>
      </c>
      <c r="K25">
        <v>34684.5</v>
      </c>
      <c r="L25">
        <v>2.4</v>
      </c>
      <c r="M25">
        <v>60141.7</v>
      </c>
      <c r="N25">
        <v>-36.700000000000003</v>
      </c>
      <c r="O25">
        <v>-0.1</v>
      </c>
      <c r="P25" s="20">
        <v>1482178</v>
      </c>
      <c r="Q25" s="20">
        <f t="shared" si="0"/>
        <v>24593</v>
      </c>
    </row>
    <row r="26" spans="1:17" x14ac:dyDescent="0.25">
      <c r="A26" t="s">
        <v>33</v>
      </c>
      <c r="B26">
        <v>3925587</v>
      </c>
      <c r="C26">
        <v>1225481</v>
      </c>
      <c r="D26">
        <v>-223694</v>
      </c>
      <c r="E26">
        <v>0</v>
      </c>
      <c r="F26">
        <v>115</v>
      </c>
      <c r="G26">
        <v>2923685</v>
      </c>
      <c r="H26">
        <v>54041</v>
      </c>
      <c r="I26">
        <v>54101.237950000002</v>
      </c>
      <c r="J26">
        <v>2873601.1</v>
      </c>
      <c r="K26">
        <v>50083.9</v>
      </c>
      <c r="L26">
        <v>1.8</v>
      </c>
      <c r="M26">
        <v>53234.5</v>
      </c>
      <c r="N26">
        <v>866.8</v>
      </c>
      <c r="O26">
        <v>1.6</v>
      </c>
      <c r="P26" s="20">
        <v>2894623</v>
      </c>
      <c r="Q26" s="20">
        <f t="shared" si="0"/>
        <v>29062</v>
      </c>
    </row>
    <row r="27" spans="1:17" x14ac:dyDescent="0.25">
      <c r="A27" t="s">
        <v>38</v>
      </c>
      <c r="B27">
        <v>3313545</v>
      </c>
      <c r="C27">
        <v>1020985</v>
      </c>
      <c r="D27">
        <v>-202555</v>
      </c>
      <c r="E27">
        <v>0</v>
      </c>
      <c r="F27">
        <v>0</v>
      </c>
      <c r="G27">
        <v>2495115</v>
      </c>
      <c r="H27">
        <v>41961</v>
      </c>
      <c r="I27">
        <v>59462.715380000001</v>
      </c>
      <c r="J27">
        <v>2479069.4</v>
      </c>
      <c r="K27">
        <v>16045.6</v>
      </c>
      <c r="L27">
        <v>0.7</v>
      </c>
      <c r="M27">
        <v>57205.7</v>
      </c>
      <c r="N27">
        <v>2257</v>
      </c>
      <c r="O27">
        <v>3.9</v>
      </c>
      <c r="P27" s="20">
        <v>2495232</v>
      </c>
      <c r="Q27" s="20">
        <f t="shared" si="0"/>
        <v>-117</v>
      </c>
    </row>
    <row r="28" spans="1:17" x14ac:dyDescent="0.25">
      <c r="A28" t="s">
        <v>50</v>
      </c>
      <c r="B28">
        <v>5249347</v>
      </c>
      <c r="C28">
        <v>1964086</v>
      </c>
      <c r="D28">
        <v>-365080</v>
      </c>
      <c r="E28">
        <v>0</v>
      </c>
      <c r="F28">
        <v>0</v>
      </c>
      <c r="G28">
        <v>3650341</v>
      </c>
      <c r="H28">
        <v>59185</v>
      </c>
      <c r="I28">
        <v>61676.793109999999</v>
      </c>
      <c r="J28">
        <v>3666276.2</v>
      </c>
      <c r="K28">
        <v>-15935.2</v>
      </c>
      <c r="L28">
        <v>-0.4</v>
      </c>
      <c r="M28">
        <v>59687.1</v>
      </c>
      <c r="N28">
        <v>1989.7</v>
      </c>
      <c r="O28">
        <v>3.3</v>
      </c>
      <c r="P28" s="20">
        <v>3693729</v>
      </c>
      <c r="Q28" s="20">
        <f t="shared" si="0"/>
        <v>-43388</v>
      </c>
    </row>
    <row r="29" spans="1:17" x14ac:dyDescent="0.25">
      <c r="A29" t="s">
        <v>63</v>
      </c>
      <c r="B29">
        <v>4663657</v>
      </c>
      <c r="C29">
        <v>1782173</v>
      </c>
      <c r="D29">
        <v>-346281</v>
      </c>
      <c r="E29">
        <v>0</v>
      </c>
      <c r="F29">
        <v>0</v>
      </c>
      <c r="G29">
        <v>3227765</v>
      </c>
      <c r="H29">
        <v>55244</v>
      </c>
      <c r="I29">
        <v>58427.43103</v>
      </c>
      <c r="J29">
        <v>3212336.2</v>
      </c>
      <c r="K29">
        <v>15428.8</v>
      </c>
      <c r="L29">
        <v>0.5</v>
      </c>
      <c r="M29">
        <v>56353.8</v>
      </c>
      <c r="N29">
        <v>2073.6</v>
      </c>
      <c r="O29">
        <v>3.7</v>
      </c>
      <c r="P29" s="20">
        <v>3236707</v>
      </c>
      <c r="Q29" s="20">
        <f t="shared" si="0"/>
        <v>-8942</v>
      </c>
    </row>
    <row r="30" spans="1:17" x14ac:dyDescent="0.25">
      <c r="A30" t="s">
        <v>35</v>
      </c>
      <c r="B30">
        <v>2777907</v>
      </c>
      <c r="C30">
        <v>927032</v>
      </c>
      <c r="D30">
        <v>-180856</v>
      </c>
      <c r="E30">
        <v>0</v>
      </c>
      <c r="F30">
        <v>0</v>
      </c>
      <c r="G30">
        <v>2031731</v>
      </c>
      <c r="H30">
        <v>31690</v>
      </c>
      <c r="I30">
        <v>64112.685389999999</v>
      </c>
      <c r="J30">
        <v>2019303.2</v>
      </c>
      <c r="K30">
        <v>12427.8</v>
      </c>
      <c r="L30">
        <v>0.6</v>
      </c>
      <c r="M30">
        <v>62076.9</v>
      </c>
      <c r="N30">
        <v>2035.8</v>
      </c>
      <c r="O30">
        <v>3.3</v>
      </c>
      <c r="P30" s="20">
        <v>2031770</v>
      </c>
      <c r="Q30" s="20">
        <f t="shared" si="0"/>
        <v>-39</v>
      </c>
    </row>
    <row r="31" spans="1:17" x14ac:dyDescent="0.25">
      <c r="A31" t="s">
        <v>91</v>
      </c>
      <c r="B31">
        <v>3500014</v>
      </c>
      <c r="C31">
        <v>1256032</v>
      </c>
      <c r="D31">
        <v>-280206</v>
      </c>
      <c r="E31">
        <v>0</v>
      </c>
      <c r="F31">
        <v>0</v>
      </c>
      <c r="G31">
        <v>2524188</v>
      </c>
      <c r="H31">
        <v>48468</v>
      </c>
      <c r="I31">
        <v>52079.475120000003</v>
      </c>
      <c r="J31">
        <v>2521117.7000000002</v>
      </c>
      <c r="K31">
        <v>3070.3</v>
      </c>
      <c r="L31">
        <v>0.1</v>
      </c>
      <c r="M31">
        <v>51051.4</v>
      </c>
      <c r="N31">
        <v>1028</v>
      </c>
      <c r="O31">
        <v>2</v>
      </c>
      <c r="P31" s="20">
        <v>2539708</v>
      </c>
      <c r="Q31" s="20">
        <f t="shared" si="0"/>
        <v>-15520</v>
      </c>
    </row>
    <row r="32" spans="1:17" x14ac:dyDescent="0.25">
      <c r="A32" t="s">
        <v>27</v>
      </c>
      <c r="B32">
        <v>5247821</v>
      </c>
      <c r="C32">
        <v>1707203</v>
      </c>
      <c r="D32">
        <v>-287697</v>
      </c>
      <c r="E32">
        <v>510</v>
      </c>
      <c r="F32">
        <v>0</v>
      </c>
      <c r="G32">
        <v>3827805</v>
      </c>
      <c r="H32">
        <v>64155</v>
      </c>
      <c r="I32">
        <v>59664.952069999999</v>
      </c>
      <c r="J32">
        <v>3839699.7</v>
      </c>
      <c r="K32">
        <v>-11894.7</v>
      </c>
      <c r="L32">
        <v>-0.3</v>
      </c>
      <c r="M32">
        <v>58148.7</v>
      </c>
      <c r="N32">
        <v>1516.3</v>
      </c>
      <c r="O32">
        <v>2.6</v>
      </c>
      <c r="P32" s="20">
        <v>3865730</v>
      </c>
      <c r="Q32" s="20">
        <f t="shared" si="0"/>
        <v>-37925</v>
      </c>
    </row>
    <row r="33" spans="1:17" x14ac:dyDescent="0.25">
      <c r="A33" t="s">
        <v>15</v>
      </c>
      <c r="B33">
        <v>2579174</v>
      </c>
      <c r="C33">
        <v>769790</v>
      </c>
      <c r="D33">
        <v>-122890</v>
      </c>
      <c r="E33">
        <v>0</v>
      </c>
      <c r="F33">
        <v>0</v>
      </c>
      <c r="G33">
        <v>1932274</v>
      </c>
      <c r="H33">
        <v>31103</v>
      </c>
      <c r="I33">
        <v>62125.00402</v>
      </c>
      <c r="J33">
        <v>1901371.2</v>
      </c>
      <c r="K33">
        <v>30902.799999999999</v>
      </c>
      <c r="L33">
        <v>1.7</v>
      </c>
      <c r="M33">
        <v>61422.2</v>
      </c>
      <c r="N33">
        <v>702.8</v>
      </c>
      <c r="O33">
        <v>1.1000000000000001</v>
      </c>
      <c r="P33" s="20">
        <v>1914383</v>
      </c>
      <c r="Q33" s="20">
        <f t="shared" si="0"/>
        <v>17891</v>
      </c>
    </row>
    <row r="34" spans="1:17" x14ac:dyDescent="0.25">
      <c r="A34" t="s">
        <v>76</v>
      </c>
      <c r="B34">
        <v>6755034</v>
      </c>
      <c r="C34">
        <v>2563432</v>
      </c>
      <c r="D34">
        <v>-466991</v>
      </c>
      <c r="E34">
        <v>0</v>
      </c>
      <c r="F34">
        <v>0</v>
      </c>
      <c r="G34">
        <v>4658593</v>
      </c>
      <c r="H34">
        <v>90116</v>
      </c>
      <c r="I34">
        <v>51695.514669999997</v>
      </c>
      <c r="J34">
        <v>4657408.5</v>
      </c>
      <c r="K34">
        <v>1184.5</v>
      </c>
      <c r="L34">
        <v>0</v>
      </c>
      <c r="M34">
        <v>50214.8</v>
      </c>
      <c r="N34">
        <v>1480.8</v>
      </c>
      <c r="O34">
        <v>2.9</v>
      </c>
      <c r="P34" s="20">
        <v>4693930</v>
      </c>
      <c r="Q34" s="20">
        <f t="shared" si="0"/>
        <v>-35337</v>
      </c>
    </row>
    <row r="35" spans="1:17" x14ac:dyDescent="0.25">
      <c r="A35" t="s">
        <v>28</v>
      </c>
      <c r="B35">
        <v>4096553</v>
      </c>
      <c r="C35">
        <v>1310237</v>
      </c>
      <c r="D35">
        <v>-304540</v>
      </c>
      <c r="E35">
        <v>0</v>
      </c>
      <c r="F35">
        <v>64</v>
      </c>
      <c r="G35">
        <v>3090792</v>
      </c>
      <c r="H35">
        <v>55552</v>
      </c>
      <c r="I35">
        <v>55637.81682</v>
      </c>
      <c r="J35">
        <v>3070501.5</v>
      </c>
      <c r="K35">
        <v>20290.5</v>
      </c>
      <c r="L35">
        <v>0.7</v>
      </c>
      <c r="M35">
        <v>54114.3</v>
      </c>
      <c r="N35">
        <v>1523.6</v>
      </c>
      <c r="O35">
        <v>2.8</v>
      </c>
      <c r="P35" s="20">
        <v>3090856</v>
      </c>
      <c r="Q35" s="20">
        <f t="shared" si="0"/>
        <v>-64</v>
      </c>
    </row>
    <row r="36" spans="1:17" x14ac:dyDescent="0.25">
      <c r="A36" t="s">
        <v>104</v>
      </c>
      <c r="B36">
        <v>5516434</v>
      </c>
      <c r="C36">
        <v>2072055</v>
      </c>
      <c r="D36">
        <v>-412567</v>
      </c>
      <c r="E36">
        <v>0</v>
      </c>
      <c r="F36">
        <v>0</v>
      </c>
      <c r="G36">
        <v>3856946</v>
      </c>
      <c r="H36">
        <v>63052</v>
      </c>
      <c r="I36">
        <v>61170.874830000001</v>
      </c>
      <c r="J36">
        <v>3840485.3</v>
      </c>
      <c r="K36">
        <v>16460.7</v>
      </c>
      <c r="L36">
        <v>0.4</v>
      </c>
      <c r="M36">
        <v>58868.3</v>
      </c>
      <c r="N36">
        <v>2302.6</v>
      </c>
      <c r="O36">
        <v>3.9</v>
      </c>
      <c r="P36" s="20">
        <v>3866954</v>
      </c>
      <c r="Q36" s="20">
        <f t="shared" si="0"/>
        <v>-10008</v>
      </c>
    </row>
    <row r="37" spans="1:17" x14ac:dyDescent="0.25">
      <c r="A37" t="s">
        <v>40</v>
      </c>
      <c r="B37">
        <v>5761131</v>
      </c>
      <c r="C37">
        <v>2151428</v>
      </c>
      <c r="D37">
        <v>-397422</v>
      </c>
      <c r="E37">
        <v>0</v>
      </c>
      <c r="F37">
        <v>0</v>
      </c>
      <c r="G37">
        <v>4007125</v>
      </c>
      <c r="H37">
        <v>74959</v>
      </c>
      <c r="I37">
        <v>53457.556799999998</v>
      </c>
      <c r="J37">
        <v>3963382.6</v>
      </c>
      <c r="K37">
        <v>43742.400000000001</v>
      </c>
      <c r="L37">
        <v>1.1000000000000001</v>
      </c>
      <c r="M37">
        <v>51554.5</v>
      </c>
      <c r="N37">
        <v>1903.1</v>
      </c>
      <c r="O37">
        <v>3.7</v>
      </c>
      <c r="P37" s="20">
        <v>3995125</v>
      </c>
      <c r="Q37" s="20">
        <f t="shared" si="0"/>
        <v>12000</v>
      </c>
    </row>
    <row r="38" spans="1:17" x14ac:dyDescent="0.25">
      <c r="A38" t="s">
        <v>77</v>
      </c>
      <c r="B38">
        <v>4425623</v>
      </c>
      <c r="C38">
        <v>1649750</v>
      </c>
      <c r="D38">
        <v>-339071</v>
      </c>
      <c r="E38">
        <v>0</v>
      </c>
      <c r="F38">
        <v>230</v>
      </c>
      <c r="G38">
        <v>3114714</v>
      </c>
      <c r="H38">
        <v>59260</v>
      </c>
      <c r="I38">
        <v>52560.141750000003</v>
      </c>
      <c r="J38">
        <v>3113120</v>
      </c>
      <c r="K38">
        <v>1594</v>
      </c>
      <c r="L38">
        <v>0.1</v>
      </c>
      <c r="M38">
        <v>51147</v>
      </c>
      <c r="N38">
        <v>1413.1</v>
      </c>
      <c r="O38">
        <v>2.8</v>
      </c>
      <c r="P38" s="20">
        <v>3136941</v>
      </c>
      <c r="Q38" s="20">
        <f t="shared" si="0"/>
        <v>-22227</v>
      </c>
    </row>
    <row r="39" spans="1:17" x14ac:dyDescent="0.25">
      <c r="A39" t="s">
        <v>73</v>
      </c>
      <c r="B39">
        <v>7583730</v>
      </c>
      <c r="C39">
        <v>2900806</v>
      </c>
      <c r="D39">
        <v>-520218</v>
      </c>
      <c r="E39">
        <v>1416</v>
      </c>
      <c r="F39">
        <v>0</v>
      </c>
      <c r="G39">
        <v>5201726</v>
      </c>
      <c r="H39">
        <v>99312</v>
      </c>
      <c r="I39">
        <v>52377.618009999998</v>
      </c>
      <c r="J39">
        <v>5128422.9000000004</v>
      </c>
      <c r="K39">
        <v>73303.100000000006</v>
      </c>
      <c r="L39">
        <v>1.5</v>
      </c>
      <c r="M39">
        <v>50295.5</v>
      </c>
      <c r="N39">
        <v>2082.1</v>
      </c>
      <c r="O39">
        <v>4.0999999999999996</v>
      </c>
      <c r="P39" s="20">
        <v>5169250</v>
      </c>
      <c r="Q39" s="20">
        <f t="shared" si="0"/>
        <v>32476</v>
      </c>
    </row>
    <row r="40" spans="1:17" x14ac:dyDescent="0.25">
      <c r="A40" t="s">
        <v>17</v>
      </c>
      <c r="B40">
        <v>4808743</v>
      </c>
      <c r="C40">
        <v>1539452</v>
      </c>
      <c r="D40">
        <v>-263403</v>
      </c>
      <c r="E40">
        <v>0</v>
      </c>
      <c r="F40">
        <v>0</v>
      </c>
      <c r="G40">
        <v>3532694</v>
      </c>
      <c r="H40">
        <v>53892</v>
      </c>
      <c r="I40">
        <v>65551.361980000001</v>
      </c>
      <c r="J40">
        <v>3495201.3</v>
      </c>
      <c r="K40">
        <v>37492.699999999997</v>
      </c>
      <c r="L40">
        <v>1.1000000000000001</v>
      </c>
      <c r="M40">
        <v>62989.7</v>
      </c>
      <c r="N40">
        <v>2561.6</v>
      </c>
      <c r="O40">
        <v>4.0999999999999996</v>
      </c>
      <c r="P40" s="20">
        <v>3517762</v>
      </c>
      <c r="Q40" s="20">
        <f t="shared" si="0"/>
        <v>14932</v>
      </c>
    </row>
    <row r="41" spans="1:17" x14ac:dyDescent="0.25">
      <c r="A41" t="s">
        <v>18</v>
      </c>
      <c r="B41">
        <v>4970248</v>
      </c>
      <c r="C41">
        <v>1536990</v>
      </c>
      <c r="D41">
        <v>-286683</v>
      </c>
      <c r="E41">
        <v>383</v>
      </c>
      <c r="F41">
        <v>0</v>
      </c>
      <c r="G41">
        <v>3719558</v>
      </c>
      <c r="H41">
        <v>60272</v>
      </c>
      <c r="I41">
        <v>61712.868329999998</v>
      </c>
      <c r="J41">
        <v>3649824.5</v>
      </c>
      <c r="K41">
        <v>69733.5</v>
      </c>
      <c r="L41">
        <v>2</v>
      </c>
      <c r="M41">
        <v>60345</v>
      </c>
      <c r="N41">
        <v>1367.8</v>
      </c>
      <c r="O41">
        <v>2.2999999999999998</v>
      </c>
      <c r="P41" s="20">
        <v>3674345</v>
      </c>
      <c r="Q41" s="20">
        <f t="shared" si="0"/>
        <v>45213</v>
      </c>
    </row>
    <row r="42" spans="1:17" x14ac:dyDescent="0.25">
      <c r="A42" t="s">
        <v>29</v>
      </c>
      <c r="B42">
        <v>1808237</v>
      </c>
      <c r="C42">
        <v>436986</v>
      </c>
      <c r="D42">
        <v>-76079</v>
      </c>
      <c r="E42">
        <v>0</v>
      </c>
      <c r="F42">
        <v>0</v>
      </c>
      <c r="G42">
        <v>1447330</v>
      </c>
      <c r="H42">
        <v>25131</v>
      </c>
      <c r="I42">
        <v>57591.42095</v>
      </c>
      <c r="J42">
        <v>1438358.4</v>
      </c>
      <c r="K42">
        <v>8971.6</v>
      </c>
      <c r="L42">
        <v>0.6</v>
      </c>
      <c r="M42">
        <v>56486.8</v>
      </c>
      <c r="N42">
        <v>1104.7</v>
      </c>
      <c r="O42">
        <v>2</v>
      </c>
      <c r="P42" s="20">
        <v>1447369</v>
      </c>
      <c r="Q42" s="20">
        <f t="shared" si="0"/>
        <v>-39</v>
      </c>
    </row>
    <row r="43" spans="1:17" x14ac:dyDescent="0.25">
      <c r="A43" t="s">
        <v>89</v>
      </c>
      <c r="B43">
        <v>3236113</v>
      </c>
      <c r="C43">
        <v>1193075</v>
      </c>
      <c r="D43">
        <v>-189571</v>
      </c>
      <c r="E43">
        <v>0</v>
      </c>
      <c r="F43">
        <v>0</v>
      </c>
      <c r="G43">
        <v>2232609</v>
      </c>
      <c r="H43">
        <v>43264</v>
      </c>
      <c r="I43">
        <v>51604.313049999997</v>
      </c>
      <c r="J43">
        <v>2217253.1</v>
      </c>
      <c r="K43">
        <v>15355.9</v>
      </c>
      <c r="L43">
        <v>0.7</v>
      </c>
      <c r="M43">
        <v>50068.3</v>
      </c>
      <c r="N43">
        <v>1536</v>
      </c>
      <c r="O43">
        <v>3.1</v>
      </c>
      <c r="P43" s="20">
        <v>2235040</v>
      </c>
      <c r="Q43" s="20">
        <f t="shared" si="0"/>
        <v>-2431</v>
      </c>
    </row>
    <row r="44" spans="1:17" x14ac:dyDescent="0.25">
      <c r="A44" t="s">
        <v>21</v>
      </c>
      <c r="B44">
        <v>2287055</v>
      </c>
      <c r="C44">
        <v>768026</v>
      </c>
      <c r="D44">
        <v>-134224</v>
      </c>
      <c r="E44">
        <v>0</v>
      </c>
      <c r="F44">
        <v>0</v>
      </c>
      <c r="G44">
        <v>1653253</v>
      </c>
      <c r="H44">
        <v>24558</v>
      </c>
      <c r="I44">
        <v>67320.343680000005</v>
      </c>
      <c r="J44">
        <v>1641798.4</v>
      </c>
      <c r="K44">
        <v>11454.6</v>
      </c>
      <c r="L44">
        <v>0.7</v>
      </c>
      <c r="M44">
        <v>66968</v>
      </c>
      <c r="N44">
        <v>352.3</v>
      </c>
      <c r="O44">
        <v>0.5</v>
      </c>
      <c r="P44" s="20">
        <v>1653167</v>
      </c>
      <c r="Q44" s="20">
        <f t="shared" si="0"/>
        <v>86</v>
      </c>
    </row>
    <row r="45" spans="1:17" x14ac:dyDescent="0.25">
      <c r="A45" t="s">
        <v>102</v>
      </c>
      <c r="B45">
        <v>3064526</v>
      </c>
      <c r="C45">
        <v>1097619</v>
      </c>
      <c r="D45">
        <v>-204493</v>
      </c>
      <c r="E45">
        <v>0</v>
      </c>
      <c r="F45">
        <v>0</v>
      </c>
      <c r="G45">
        <v>2171400</v>
      </c>
      <c r="H45">
        <v>37883</v>
      </c>
      <c r="I45">
        <v>57318.586170000002</v>
      </c>
      <c r="J45">
        <v>2155682.7999999998</v>
      </c>
      <c r="K45">
        <v>15717.2</v>
      </c>
      <c r="L45">
        <v>0.8</v>
      </c>
      <c r="M45">
        <v>54786.3</v>
      </c>
      <c r="N45">
        <v>2532.1999999999998</v>
      </c>
      <c r="O45">
        <v>4.5999999999999996</v>
      </c>
      <c r="P45" s="20">
        <v>2171427</v>
      </c>
      <c r="Q45" s="20">
        <f t="shared" si="0"/>
        <v>-27</v>
      </c>
    </row>
    <row r="46" spans="1:17" x14ac:dyDescent="0.25">
      <c r="A46" t="s">
        <v>42</v>
      </c>
      <c r="B46">
        <v>4221528</v>
      </c>
      <c r="C46">
        <v>1633398</v>
      </c>
      <c r="D46">
        <v>-245411</v>
      </c>
      <c r="E46">
        <v>0</v>
      </c>
      <c r="F46">
        <v>0</v>
      </c>
      <c r="G46">
        <v>2833541</v>
      </c>
      <c r="H46">
        <v>47970</v>
      </c>
      <c r="I46">
        <v>59069.02231</v>
      </c>
      <c r="J46">
        <v>2811745.3</v>
      </c>
      <c r="K46">
        <v>21795.7</v>
      </c>
      <c r="L46">
        <v>0.8</v>
      </c>
      <c r="M46">
        <v>56571.6</v>
      </c>
      <c r="N46">
        <v>2497.5</v>
      </c>
      <c r="O46">
        <v>4.4000000000000004</v>
      </c>
      <c r="P46" s="20">
        <v>2833509</v>
      </c>
      <c r="Q46" s="20">
        <f t="shared" si="0"/>
        <v>32</v>
      </c>
    </row>
    <row r="47" spans="1:17" x14ac:dyDescent="0.25">
      <c r="A47" t="s">
        <v>56</v>
      </c>
      <c r="B47">
        <v>1974598</v>
      </c>
      <c r="C47">
        <v>737303</v>
      </c>
      <c r="D47">
        <v>-124052</v>
      </c>
      <c r="E47">
        <v>0</v>
      </c>
      <c r="F47">
        <v>120</v>
      </c>
      <c r="G47">
        <v>1361227</v>
      </c>
      <c r="H47">
        <v>23971</v>
      </c>
      <c r="I47">
        <v>56786.408580000003</v>
      </c>
      <c r="J47">
        <v>1350948.2</v>
      </c>
      <c r="K47">
        <v>10278.799999999999</v>
      </c>
      <c r="L47">
        <v>0.8</v>
      </c>
      <c r="M47">
        <v>54853</v>
      </c>
      <c r="N47">
        <v>1933.4</v>
      </c>
      <c r="O47">
        <v>3.5</v>
      </c>
      <c r="P47" s="20">
        <v>1360851</v>
      </c>
      <c r="Q47" s="20">
        <f t="shared" si="0"/>
        <v>376</v>
      </c>
    </row>
    <row r="48" spans="1:17" x14ac:dyDescent="0.25">
      <c r="A48" t="s">
        <v>74</v>
      </c>
      <c r="B48">
        <v>7333502</v>
      </c>
      <c r="C48">
        <v>2439901</v>
      </c>
      <c r="D48">
        <v>-273343</v>
      </c>
      <c r="E48">
        <v>1330</v>
      </c>
      <c r="F48">
        <v>589</v>
      </c>
      <c r="G48">
        <v>5165025</v>
      </c>
      <c r="H48">
        <v>96359</v>
      </c>
      <c r="I48">
        <v>53601.894999999997</v>
      </c>
      <c r="J48">
        <v>5113748.7</v>
      </c>
      <c r="K48">
        <v>51276.3</v>
      </c>
      <c r="L48">
        <v>1</v>
      </c>
      <c r="M48">
        <v>52079.4</v>
      </c>
      <c r="N48">
        <v>1522.5</v>
      </c>
      <c r="O48">
        <v>2.9</v>
      </c>
      <c r="P48" s="20">
        <v>5152999</v>
      </c>
      <c r="Q48" s="20">
        <f t="shared" si="0"/>
        <v>12026</v>
      </c>
    </row>
    <row r="49" spans="1:17" x14ac:dyDescent="0.25">
      <c r="A49" t="s">
        <v>7</v>
      </c>
      <c r="B49">
        <v>48176833</v>
      </c>
      <c r="C49">
        <v>15036571</v>
      </c>
      <c r="D49">
        <v>-2486259</v>
      </c>
      <c r="E49">
        <v>-12794</v>
      </c>
      <c r="F49">
        <v>232216</v>
      </c>
      <c r="G49">
        <v>35407099</v>
      </c>
      <c r="H49">
        <v>672681</v>
      </c>
      <c r="I49">
        <v>52635.794679999999</v>
      </c>
      <c r="J49">
        <v>35151615.100000001</v>
      </c>
      <c r="K49">
        <v>255483.9</v>
      </c>
      <c r="L49">
        <v>0.7</v>
      </c>
      <c r="M49">
        <v>51308.2</v>
      </c>
      <c r="N49">
        <v>1327.6</v>
      </c>
      <c r="O49">
        <v>2.6</v>
      </c>
      <c r="P49" s="20">
        <v>35407924</v>
      </c>
      <c r="Q49" s="20">
        <f t="shared" si="0"/>
        <v>-825</v>
      </c>
    </row>
    <row r="50" spans="1:17" x14ac:dyDescent="0.25">
      <c r="A50" t="s">
        <v>34</v>
      </c>
      <c r="B50">
        <v>5138331</v>
      </c>
      <c r="C50">
        <v>1748760</v>
      </c>
      <c r="D50">
        <v>-331723</v>
      </c>
      <c r="E50">
        <v>0</v>
      </c>
      <c r="F50">
        <v>401</v>
      </c>
      <c r="G50">
        <v>3720893</v>
      </c>
      <c r="H50">
        <v>63684</v>
      </c>
      <c r="I50">
        <v>58427.438600000001</v>
      </c>
      <c r="J50">
        <v>3713530</v>
      </c>
      <c r="K50">
        <v>7363</v>
      </c>
      <c r="L50">
        <v>0.2</v>
      </c>
      <c r="M50">
        <v>57018.7</v>
      </c>
      <c r="N50">
        <v>1408.7</v>
      </c>
      <c r="O50">
        <v>2.5</v>
      </c>
      <c r="P50" s="20">
        <v>3739044</v>
      </c>
      <c r="Q50" s="20">
        <f t="shared" si="0"/>
        <v>-18151</v>
      </c>
    </row>
    <row r="51" spans="1:17" x14ac:dyDescent="0.25">
      <c r="A51" t="s">
        <v>61</v>
      </c>
      <c r="B51">
        <v>1237454</v>
      </c>
      <c r="C51">
        <v>465371</v>
      </c>
      <c r="D51">
        <v>-92573</v>
      </c>
      <c r="E51">
        <v>0</v>
      </c>
      <c r="F51">
        <v>0</v>
      </c>
      <c r="G51">
        <v>864656</v>
      </c>
      <c r="H51">
        <v>11897</v>
      </c>
      <c r="I51">
        <v>72678.490380000003</v>
      </c>
      <c r="J51">
        <v>860522.1</v>
      </c>
      <c r="K51">
        <v>4133.8999999999996</v>
      </c>
      <c r="L51">
        <v>0.5</v>
      </c>
      <c r="M51">
        <v>68346.5</v>
      </c>
      <c r="N51">
        <v>4331.8999999999996</v>
      </c>
      <c r="O51">
        <v>6.3</v>
      </c>
      <c r="P51" s="20">
        <v>865966</v>
      </c>
      <c r="Q51" s="20">
        <f t="shared" si="0"/>
        <v>-1310</v>
      </c>
    </row>
    <row r="52" spans="1:17" x14ac:dyDescent="0.25">
      <c r="A52" t="s">
        <v>47</v>
      </c>
      <c r="B52">
        <v>2148204</v>
      </c>
      <c r="C52">
        <v>626833</v>
      </c>
      <c r="D52">
        <v>-139159</v>
      </c>
      <c r="E52">
        <v>0</v>
      </c>
      <c r="F52">
        <v>0</v>
      </c>
      <c r="G52">
        <v>1660530</v>
      </c>
      <c r="H52">
        <v>29853</v>
      </c>
      <c r="I52">
        <v>55623.555419999997</v>
      </c>
      <c r="J52">
        <v>1626003.5</v>
      </c>
      <c r="K52">
        <v>34526.5</v>
      </c>
      <c r="L52">
        <v>2.2000000000000002</v>
      </c>
      <c r="M52">
        <v>53410.8</v>
      </c>
      <c r="N52">
        <v>2212.8000000000002</v>
      </c>
      <c r="O52">
        <v>4.0999999999999996</v>
      </c>
      <c r="P52" s="20">
        <v>1636999</v>
      </c>
      <c r="Q52" s="20">
        <f t="shared" si="0"/>
        <v>23531</v>
      </c>
    </row>
    <row r="53" spans="1:17" x14ac:dyDescent="0.25">
      <c r="A53" t="s">
        <v>78</v>
      </c>
      <c r="B53">
        <v>1579841</v>
      </c>
      <c r="C53">
        <v>589454</v>
      </c>
      <c r="D53">
        <v>-113660</v>
      </c>
      <c r="E53">
        <v>0</v>
      </c>
      <c r="F53">
        <v>0</v>
      </c>
      <c r="G53">
        <v>1104047</v>
      </c>
      <c r="H53">
        <v>18631</v>
      </c>
      <c r="I53">
        <v>59258.601260000003</v>
      </c>
      <c r="J53">
        <v>1100563.6000000001</v>
      </c>
      <c r="K53">
        <v>3483.4</v>
      </c>
      <c r="L53">
        <v>0.3</v>
      </c>
      <c r="M53">
        <v>56283.5</v>
      </c>
      <c r="N53">
        <v>2975.1</v>
      </c>
      <c r="O53">
        <v>5.3</v>
      </c>
      <c r="P53" s="20">
        <v>1108505</v>
      </c>
      <c r="Q53" s="20">
        <f t="shared" si="0"/>
        <v>-4458</v>
      </c>
    </row>
    <row r="54" spans="1:17" x14ac:dyDescent="0.25">
      <c r="A54" t="s">
        <v>48</v>
      </c>
      <c r="B54">
        <v>4285606</v>
      </c>
      <c r="C54">
        <v>1652033</v>
      </c>
      <c r="D54">
        <v>-279332</v>
      </c>
      <c r="E54">
        <v>0</v>
      </c>
      <c r="F54">
        <v>174</v>
      </c>
      <c r="G54">
        <v>2912731</v>
      </c>
      <c r="H54">
        <v>38837</v>
      </c>
      <c r="I54">
        <v>74998.867060000004</v>
      </c>
      <c r="J54">
        <v>2939546</v>
      </c>
      <c r="K54">
        <v>-26815</v>
      </c>
      <c r="L54">
        <v>-0.9</v>
      </c>
      <c r="M54">
        <v>72469.3</v>
      </c>
      <c r="N54">
        <v>2529.6</v>
      </c>
      <c r="O54">
        <v>3.5</v>
      </c>
      <c r="P54" s="20">
        <v>2959204</v>
      </c>
      <c r="Q54" s="20">
        <f t="shared" si="0"/>
        <v>-46473</v>
      </c>
    </row>
    <row r="55" spans="1:17" x14ac:dyDescent="0.25">
      <c r="A55" t="s">
        <v>19</v>
      </c>
      <c r="B55">
        <v>4355338</v>
      </c>
      <c r="C55">
        <v>1053918</v>
      </c>
      <c r="D55">
        <v>-174749</v>
      </c>
      <c r="E55">
        <v>0</v>
      </c>
      <c r="F55">
        <v>0</v>
      </c>
      <c r="G55">
        <v>3476169</v>
      </c>
      <c r="H55">
        <v>58992</v>
      </c>
      <c r="I55">
        <v>58926.108619999999</v>
      </c>
      <c r="J55">
        <v>3455684.1</v>
      </c>
      <c r="K55">
        <v>20484.900000000001</v>
      </c>
      <c r="L55">
        <v>0.6</v>
      </c>
      <c r="M55">
        <v>57003</v>
      </c>
      <c r="N55">
        <v>1923.1</v>
      </c>
      <c r="O55">
        <v>3.4</v>
      </c>
      <c r="P55" s="20">
        <v>3476487</v>
      </c>
      <c r="Q55" s="20">
        <f t="shared" si="0"/>
        <v>-318</v>
      </c>
    </row>
    <row r="56" spans="1:17" x14ac:dyDescent="0.25">
      <c r="A56" t="s">
        <v>99</v>
      </c>
      <c r="B56">
        <v>209069</v>
      </c>
      <c r="C56">
        <v>44606</v>
      </c>
      <c r="D56">
        <v>-7358</v>
      </c>
      <c r="E56">
        <v>0</v>
      </c>
      <c r="F56">
        <v>0</v>
      </c>
      <c r="G56">
        <v>171821</v>
      </c>
      <c r="H56">
        <v>1707</v>
      </c>
      <c r="I56">
        <v>100656.7077</v>
      </c>
      <c r="J56">
        <v>173003.9</v>
      </c>
      <c r="K56">
        <v>-1182.9000000000001</v>
      </c>
      <c r="L56">
        <v>-0.7</v>
      </c>
      <c r="M56">
        <v>95941.7</v>
      </c>
      <c r="N56">
        <v>4715</v>
      </c>
      <c r="O56">
        <v>4.9000000000000004</v>
      </c>
      <c r="P56" s="20">
        <v>173637</v>
      </c>
      <c r="Q56" s="20">
        <f t="shared" si="0"/>
        <v>-1816</v>
      </c>
    </row>
    <row r="57" spans="1:17" x14ac:dyDescent="0.25">
      <c r="A57" t="s">
        <v>101</v>
      </c>
      <c r="B57">
        <v>3360413</v>
      </c>
      <c r="C57">
        <v>1217133</v>
      </c>
      <c r="D57">
        <v>-231154</v>
      </c>
      <c r="E57">
        <v>0</v>
      </c>
      <c r="F57">
        <v>0</v>
      </c>
      <c r="G57">
        <v>2374434</v>
      </c>
      <c r="H57">
        <v>41611</v>
      </c>
      <c r="I57">
        <v>57062.651700000002</v>
      </c>
      <c r="J57">
        <v>2375402.2999999998</v>
      </c>
      <c r="K57">
        <v>-968.3</v>
      </c>
      <c r="L57">
        <v>0</v>
      </c>
      <c r="M57">
        <v>55224.800000000003</v>
      </c>
      <c r="N57">
        <v>1837.8</v>
      </c>
      <c r="O57">
        <v>3.3</v>
      </c>
      <c r="P57" s="20">
        <v>2392798</v>
      </c>
      <c r="Q57" s="20">
        <f t="shared" si="0"/>
        <v>-18364</v>
      </c>
    </row>
    <row r="58" spans="1:17" x14ac:dyDescent="0.25">
      <c r="A58" t="s">
        <v>53</v>
      </c>
      <c r="B58">
        <v>3012482</v>
      </c>
      <c r="C58">
        <v>1046378</v>
      </c>
      <c r="D58">
        <v>-207327</v>
      </c>
      <c r="E58">
        <v>0</v>
      </c>
      <c r="F58">
        <v>0</v>
      </c>
      <c r="G58">
        <v>2173431</v>
      </c>
      <c r="H58">
        <v>40577</v>
      </c>
      <c r="I58">
        <v>53563.12689</v>
      </c>
      <c r="J58">
        <v>2157996.4</v>
      </c>
      <c r="K58">
        <v>15434.6</v>
      </c>
      <c r="L58">
        <v>0.7</v>
      </c>
      <c r="M58">
        <v>51807.1</v>
      </c>
      <c r="N58">
        <v>1756</v>
      </c>
      <c r="O58">
        <v>3.4</v>
      </c>
      <c r="P58" s="20">
        <v>2173968</v>
      </c>
      <c r="Q58" s="20">
        <f t="shared" si="0"/>
        <v>-537</v>
      </c>
    </row>
    <row r="59" spans="1:17" x14ac:dyDescent="0.25">
      <c r="A59" t="s">
        <v>92</v>
      </c>
      <c r="B59">
        <v>1769179</v>
      </c>
      <c r="C59">
        <v>643848</v>
      </c>
      <c r="D59">
        <v>-113948</v>
      </c>
      <c r="E59">
        <v>0</v>
      </c>
      <c r="F59">
        <v>0</v>
      </c>
      <c r="G59">
        <v>1239279</v>
      </c>
      <c r="H59">
        <v>19390</v>
      </c>
      <c r="I59">
        <v>63913.305829999998</v>
      </c>
      <c r="J59">
        <v>1247169.8</v>
      </c>
      <c r="K59">
        <v>-7890.8</v>
      </c>
      <c r="L59">
        <v>-0.7</v>
      </c>
      <c r="M59">
        <v>61664.4</v>
      </c>
      <c r="N59">
        <v>2248.9</v>
      </c>
      <c r="O59">
        <v>3.6</v>
      </c>
      <c r="P59" s="20">
        <v>1255707</v>
      </c>
      <c r="Q59" s="20">
        <f t="shared" si="0"/>
        <v>-16428</v>
      </c>
    </row>
    <row r="60" spans="1:17" x14ac:dyDescent="0.25">
      <c r="A60" t="s">
        <v>81</v>
      </c>
      <c r="B60">
        <v>3209959</v>
      </c>
      <c r="C60">
        <v>1201700</v>
      </c>
      <c r="D60">
        <v>-214431</v>
      </c>
      <c r="E60">
        <v>0</v>
      </c>
      <c r="F60">
        <v>0</v>
      </c>
      <c r="G60">
        <v>2222690</v>
      </c>
      <c r="H60">
        <v>36617</v>
      </c>
      <c r="I60">
        <v>60701.040500000003</v>
      </c>
      <c r="J60">
        <v>2224472.2000000002</v>
      </c>
      <c r="K60">
        <v>-1782.2</v>
      </c>
      <c r="L60">
        <v>-0.1</v>
      </c>
      <c r="M60">
        <v>58693.9</v>
      </c>
      <c r="N60">
        <v>2007.2</v>
      </c>
      <c r="O60">
        <v>3.4</v>
      </c>
      <c r="P60" s="20">
        <v>2240559</v>
      </c>
      <c r="Q60" s="20">
        <f t="shared" si="0"/>
        <v>-17869</v>
      </c>
    </row>
    <row r="61" spans="1:17" x14ac:dyDescent="0.25">
      <c r="A61" t="s">
        <v>60</v>
      </c>
      <c r="B61">
        <v>2447900</v>
      </c>
      <c r="C61">
        <v>913063</v>
      </c>
      <c r="D61">
        <v>-173250</v>
      </c>
      <c r="E61">
        <v>0</v>
      </c>
      <c r="F61">
        <v>0</v>
      </c>
      <c r="G61">
        <v>1708087</v>
      </c>
      <c r="H61">
        <v>29313</v>
      </c>
      <c r="I61">
        <v>58270.63078</v>
      </c>
      <c r="J61">
        <v>1701367.5</v>
      </c>
      <c r="K61">
        <v>6719.5</v>
      </c>
      <c r="L61">
        <v>0.4</v>
      </c>
      <c r="M61">
        <v>55780.5</v>
      </c>
      <c r="N61">
        <v>2490.1</v>
      </c>
      <c r="O61">
        <v>4.5</v>
      </c>
      <c r="P61" s="20">
        <v>1713807</v>
      </c>
      <c r="Q61" s="20">
        <f t="shared" si="0"/>
        <v>-5720</v>
      </c>
    </row>
    <row r="62" spans="1:17" x14ac:dyDescent="0.25">
      <c r="A62" t="s">
        <v>57</v>
      </c>
      <c r="B62">
        <v>2755886</v>
      </c>
      <c r="C62">
        <v>1054803</v>
      </c>
      <c r="D62">
        <v>-196396</v>
      </c>
      <c r="E62">
        <v>0</v>
      </c>
      <c r="F62">
        <v>649</v>
      </c>
      <c r="G62">
        <v>1896830</v>
      </c>
      <c r="H62">
        <v>32385</v>
      </c>
      <c r="I62">
        <v>58571.252119999997</v>
      </c>
      <c r="J62">
        <v>1893880</v>
      </c>
      <c r="K62">
        <v>2950</v>
      </c>
      <c r="L62">
        <v>0.2</v>
      </c>
      <c r="M62">
        <v>57019.3</v>
      </c>
      <c r="N62">
        <v>1551.9</v>
      </c>
      <c r="O62">
        <v>2.7</v>
      </c>
      <c r="P62" s="20">
        <v>1907748</v>
      </c>
      <c r="Q62" s="20">
        <f t="shared" si="0"/>
        <v>-10918</v>
      </c>
    </row>
    <row r="63" spans="1:17" x14ac:dyDescent="0.25">
      <c r="A63" t="s">
        <v>49</v>
      </c>
      <c r="B63">
        <v>6629476</v>
      </c>
      <c r="C63">
        <v>2426750</v>
      </c>
      <c r="D63">
        <v>-440774</v>
      </c>
      <c r="E63">
        <v>0</v>
      </c>
      <c r="F63">
        <v>255</v>
      </c>
      <c r="G63">
        <v>4643245</v>
      </c>
      <c r="H63">
        <v>85189</v>
      </c>
      <c r="I63">
        <v>54505.217810000002</v>
      </c>
      <c r="J63">
        <v>4596470.2</v>
      </c>
      <c r="K63">
        <v>46774.8</v>
      </c>
      <c r="L63">
        <v>1</v>
      </c>
      <c r="M63">
        <v>52472.4</v>
      </c>
      <c r="N63">
        <v>2032.8</v>
      </c>
      <c r="O63">
        <v>3.9</v>
      </c>
      <c r="P63" s="20">
        <v>4632766</v>
      </c>
      <c r="Q63" s="20">
        <f t="shared" si="0"/>
        <v>10479</v>
      </c>
    </row>
    <row r="64" spans="1:17" x14ac:dyDescent="0.25">
      <c r="A64" t="s">
        <v>83</v>
      </c>
      <c r="B64">
        <v>1790324</v>
      </c>
      <c r="C64">
        <v>624950</v>
      </c>
      <c r="D64">
        <v>-110413</v>
      </c>
      <c r="E64">
        <v>0</v>
      </c>
      <c r="F64">
        <v>0</v>
      </c>
      <c r="G64">
        <v>1275787</v>
      </c>
      <c r="H64">
        <v>24312</v>
      </c>
      <c r="I64">
        <v>52475.608749999999</v>
      </c>
      <c r="J64">
        <v>1261506.8999999999</v>
      </c>
      <c r="K64">
        <v>14280.1</v>
      </c>
      <c r="L64">
        <v>1.2</v>
      </c>
      <c r="M64">
        <v>50815.1</v>
      </c>
      <c r="N64">
        <v>1660.5</v>
      </c>
      <c r="O64">
        <v>3.3</v>
      </c>
      <c r="P64" s="20">
        <v>1271145</v>
      </c>
      <c r="Q64" s="20">
        <f t="shared" si="0"/>
        <v>4642</v>
      </c>
    </row>
    <row r="65" spans="1:17" x14ac:dyDescent="0.25">
      <c r="A65" t="s">
        <v>58</v>
      </c>
      <c r="B65">
        <v>16297955</v>
      </c>
      <c r="C65">
        <v>6504247</v>
      </c>
      <c r="D65">
        <v>-1083166</v>
      </c>
      <c r="E65">
        <v>0</v>
      </c>
      <c r="F65">
        <v>39062</v>
      </c>
      <c r="G65">
        <v>10837812</v>
      </c>
      <c r="H65">
        <v>212001</v>
      </c>
      <c r="I65">
        <v>51121.513579999999</v>
      </c>
      <c r="J65">
        <v>10749097.699999999</v>
      </c>
      <c r="K65">
        <v>88714.3</v>
      </c>
      <c r="L65">
        <v>0.9</v>
      </c>
      <c r="M65">
        <v>49656.6</v>
      </c>
      <c r="N65">
        <v>1464.9</v>
      </c>
      <c r="O65">
        <v>3</v>
      </c>
      <c r="P65" s="20">
        <v>10837864</v>
      </c>
      <c r="Q65" s="20">
        <f t="shared" si="0"/>
        <v>-52</v>
      </c>
    </row>
    <row r="66" spans="1:17" x14ac:dyDescent="0.25">
      <c r="A66" t="s">
        <v>39</v>
      </c>
      <c r="B66">
        <v>2973349</v>
      </c>
      <c r="C66">
        <v>1119178</v>
      </c>
      <c r="D66">
        <v>-200626</v>
      </c>
      <c r="E66">
        <v>0</v>
      </c>
      <c r="F66">
        <v>38</v>
      </c>
      <c r="G66">
        <v>2054759</v>
      </c>
      <c r="H66">
        <v>32078</v>
      </c>
      <c r="I66">
        <v>64055.084479999998</v>
      </c>
      <c r="J66">
        <v>2036282.7</v>
      </c>
      <c r="K66">
        <v>18476.3</v>
      </c>
      <c r="L66">
        <v>0.9</v>
      </c>
      <c r="M66">
        <v>60742.9</v>
      </c>
      <c r="N66">
        <v>3312.2</v>
      </c>
      <c r="O66">
        <v>5.5</v>
      </c>
      <c r="P66" s="20">
        <v>2050692</v>
      </c>
      <c r="Q66" s="20">
        <f t="shared" ref="Q66:Q100" si="1">G66-P66</f>
        <v>4067</v>
      </c>
    </row>
    <row r="67" spans="1:17" x14ac:dyDescent="0.25">
      <c r="A67" t="s">
        <v>84</v>
      </c>
      <c r="B67">
        <v>8194141</v>
      </c>
      <c r="C67">
        <v>3325593</v>
      </c>
      <c r="D67">
        <v>-588778</v>
      </c>
      <c r="E67">
        <v>190</v>
      </c>
      <c r="F67">
        <v>0</v>
      </c>
      <c r="G67">
        <v>5457136</v>
      </c>
      <c r="H67">
        <v>101031</v>
      </c>
      <c r="I67">
        <v>54014.470809999999</v>
      </c>
      <c r="J67">
        <v>5419153.5</v>
      </c>
      <c r="K67">
        <v>37982.5</v>
      </c>
      <c r="L67">
        <v>0.7</v>
      </c>
      <c r="M67">
        <v>52243.9</v>
      </c>
      <c r="N67">
        <v>1770.5</v>
      </c>
      <c r="O67">
        <v>3.4</v>
      </c>
      <c r="P67" s="20">
        <v>5462932</v>
      </c>
      <c r="Q67" s="20">
        <f t="shared" si="1"/>
        <v>-5796</v>
      </c>
    </row>
    <row r="68" spans="1:17" x14ac:dyDescent="0.25">
      <c r="A68" t="s">
        <v>100</v>
      </c>
      <c r="B68">
        <v>2253096</v>
      </c>
      <c r="C68">
        <v>733073</v>
      </c>
      <c r="D68">
        <v>-155039</v>
      </c>
      <c r="E68">
        <v>0</v>
      </c>
      <c r="F68">
        <v>0</v>
      </c>
      <c r="G68">
        <v>1675062</v>
      </c>
      <c r="H68">
        <v>30996</v>
      </c>
      <c r="I68">
        <v>54041.23113</v>
      </c>
      <c r="J68">
        <v>1644616.1</v>
      </c>
      <c r="K68">
        <v>30445.9</v>
      </c>
      <c r="L68">
        <v>1.9</v>
      </c>
      <c r="M68">
        <v>51357.599999999999</v>
      </c>
      <c r="N68">
        <v>2683.7</v>
      </c>
      <c r="O68">
        <v>5.2</v>
      </c>
      <c r="P68" s="20">
        <v>1656526</v>
      </c>
      <c r="Q68" s="20">
        <f t="shared" si="1"/>
        <v>18536</v>
      </c>
    </row>
    <row r="69" spans="1:17" x14ac:dyDescent="0.25">
      <c r="A69" t="s">
        <v>90</v>
      </c>
      <c r="B69">
        <v>4385261</v>
      </c>
      <c r="C69">
        <v>1535864</v>
      </c>
      <c r="D69">
        <v>-295207</v>
      </c>
      <c r="E69">
        <v>0</v>
      </c>
      <c r="F69">
        <v>0</v>
      </c>
      <c r="G69">
        <v>3144604</v>
      </c>
      <c r="H69">
        <v>55363</v>
      </c>
      <c r="I69">
        <v>56799.7399</v>
      </c>
      <c r="J69">
        <v>3121708.2</v>
      </c>
      <c r="K69">
        <v>22895.8</v>
      </c>
      <c r="L69">
        <v>0.8</v>
      </c>
      <c r="M69">
        <v>54044.5</v>
      </c>
      <c r="N69">
        <v>2755.2</v>
      </c>
      <c r="O69">
        <v>5.0999999999999996</v>
      </c>
      <c r="P69" s="20">
        <v>3144604</v>
      </c>
      <c r="Q69" s="20">
        <f t="shared" si="1"/>
        <v>0</v>
      </c>
    </row>
    <row r="70" spans="1:17" x14ac:dyDescent="0.25">
      <c r="A70" t="s">
        <v>43</v>
      </c>
      <c r="B70">
        <v>2907829</v>
      </c>
      <c r="C70">
        <v>1045282</v>
      </c>
      <c r="D70">
        <v>-198246</v>
      </c>
      <c r="E70">
        <v>0</v>
      </c>
      <c r="F70">
        <v>0</v>
      </c>
      <c r="G70">
        <v>2060793</v>
      </c>
      <c r="H70">
        <v>36529</v>
      </c>
      <c r="I70">
        <v>56415.259109999999</v>
      </c>
      <c r="J70">
        <v>2046412.3</v>
      </c>
      <c r="K70">
        <v>14380.7</v>
      </c>
      <c r="L70">
        <v>0.7</v>
      </c>
      <c r="M70">
        <v>54280.7</v>
      </c>
      <c r="N70">
        <v>2134.6</v>
      </c>
      <c r="O70">
        <v>3.9</v>
      </c>
      <c r="P70" s="20">
        <v>2061471</v>
      </c>
      <c r="Q70" s="20">
        <f t="shared" si="1"/>
        <v>-678</v>
      </c>
    </row>
    <row r="71" spans="1:17" x14ac:dyDescent="0.25">
      <c r="A71" t="s">
        <v>36</v>
      </c>
      <c r="B71">
        <v>6808256</v>
      </c>
      <c r="C71">
        <v>2092743</v>
      </c>
      <c r="D71">
        <v>-374562</v>
      </c>
      <c r="E71">
        <v>0</v>
      </c>
      <c r="F71">
        <v>2761</v>
      </c>
      <c r="G71">
        <v>5087314</v>
      </c>
      <c r="H71">
        <v>92144</v>
      </c>
      <c r="I71">
        <v>55210.474909999997</v>
      </c>
      <c r="J71">
        <v>5037307.2</v>
      </c>
      <c r="K71">
        <v>50006.8</v>
      </c>
      <c r="L71">
        <v>1</v>
      </c>
      <c r="M71">
        <v>53415.3</v>
      </c>
      <c r="N71">
        <v>1795.2</v>
      </c>
      <c r="O71">
        <v>3.4</v>
      </c>
      <c r="P71" s="20">
        <v>5071421</v>
      </c>
      <c r="Q71" s="20">
        <f t="shared" si="1"/>
        <v>15893</v>
      </c>
    </row>
    <row r="72" spans="1:17" x14ac:dyDescent="0.25">
      <c r="A72" t="s">
        <v>30</v>
      </c>
      <c r="B72">
        <v>4152690</v>
      </c>
      <c r="C72">
        <v>931547</v>
      </c>
      <c r="D72">
        <v>-189065</v>
      </c>
      <c r="E72">
        <v>0</v>
      </c>
      <c r="F72">
        <v>0</v>
      </c>
      <c r="G72">
        <v>3410208</v>
      </c>
      <c r="H72">
        <v>57259</v>
      </c>
      <c r="I72">
        <v>59557.589200000002</v>
      </c>
      <c r="J72">
        <v>3389800.2</v>
      </c>
      <c r="K72">
        <v>20407.8</v>
      </c>
      <c r="L72">
        <v>0.6</v>
      </c>
      <c r="M72">
        <v>57478.3</v>
      </c>
      <c r="N72">
        <v>2079.1999999999998</v>
      </c>
      <c r="O72">
        <v>3.6</v>
      </c>
      <c r="P72" s="20">
        <v>3410191</v>
      </c>
      <c r="Q72" s="20">
        <f t="shared" si="1"/>
        <v>17</v>
      </c>
    </row>
    <row r="73" spans="1:17" x14ac:dyDescent="0.25">
      <c r="A73" t="s">
        <v>20</v>
      </c>
      <c r="B73">
        <v>3803387</v>
      </c>
      <c r="C73">
        <v>1157496</v>
      </c>
      <c r="D73">
        <v>-201122</v>
      </c>
      <c r="E73">
        <v>0</v>
      </c>
      <c r="F73">
        <v>0</v>
      </c>
      <c r="G73">
        <v>2847013</v>
      </c>
      <c r="H73">
        <v>45402</v>
      </c>
      <c r="I73">
        <v>62706.775029999997</v>
      </c>
      <c r="J73">
        <v>2809975</v>
      </c>
      <c r="K73">
        <v>37038</v>
      </c>
      <c r="L73">
        <v>1.4</v>
      </c>
      <c r="M73">
        <v>60616.2</v>
      </c>
      <c r="N73">
        <v>2090.6</v>
      </c>
      <c r="O73">
        <v>3.4</v>
      </c>
      <c r="P73" s="20">
        <v>2829085</v>
      </c>
      <c r="Q73" s="20">
        <f t="shared" si="1"/>
        <v>17928</v>
      </c>
    </row>
    <row r="74" spans="1:17" x14ac:dyDescent="0.25">
      <c r="A74" t="s">
        <v>86</v>
      </c>
      <c r="B74">
        <v>371798</v>
      </c>
      <c r="C74">
        <v>112052</v>
      </c>
      <c r="D74">
        <v>-19329</v>
      </c>
      <c r="E74">
        <v>0</v>
      </c>
      <c r="F74">
        <v>0</v>
      </c>
      <c r="G74">
        <v>279075</v>
      </c>
      <c r="H74">
        <v>3657</v>
      </c>
      <c r="I74">
        <v>76312.551269999996</v>
      </c>
      <c r="J74">
        <v>280518.59999999998</v>
      </c>
      <c r="K74">
        <v>-1443.6</v>
      </c>
      <c r="L74">
        <v>-0.5</v>
      </c>
      <c r="M74">
        <v>73318.2</v>
      </c>
      <c r="N74">
        <v>2994.3</v>
      </c>
      <c r="O74">
        <v>4.0999999999999996</v>
      </c>
      <c r="P74" s="20">
        <v>281920</v>
      </c>
      <c r="Q74" s="20">
        <f t="shared" si="1"/>
        <v>-2845</v>
      </c>
    </row>
    <row r="75" spans="1:17" x14ac:dyDescent="0.25">
      <c r="A75" t="s">
        <v>85</v>
      </c>
      <c r="B75">
        <v>7562059</v>
      </c>
      <c r="C75">
        <v>2681532</v>
      </c>
      <c r="D75">
        <v>-518057</v>
      </c>
      <c r="E75">
        <v>0</v>
      </c>
      <c r="F75">
        <v>0</v>
      </c>
      <c r="G75">
        <v>5398584</v>
      </c>
      <c r="H75">
        <v>102966</v>
      </c>
      <c r="I75">
        <v>52430.744129999999</v>
      </c>
      <c r="J75">
        <v>5292357</v>
      </c>
      <c r="K75">
        <v>106227</v>
      </c>
      <c r="L75">
        <v>2.1</v>
      </c>
      <c r="M75">
        <v>50218.400000000001</v>
      </c>
      <c r="N75">
        <v>2212.3000000000002</v>
      </c>
      <c r="O75">
        <v>4.4000000000000004</v>
      </c>
      <c r="P75" s="20">
        <v>5332049</v>
      </c>
      <c r="Q75" s="20">
        <f t="shared" si="1"/>
        <v>66535</v>
      </c>
    </row>
    <row r="76" spans="1:17" x14ac:dyDescent="0.25">
      <c r="A76" t="s">
        <v>87</v>
      </c>
      <c r="B76">
        <v>4729921</v>
      </c>
      <c r="C76">
        <v>1430997</v>
      </c>
      <c r="D76">
        <v>-316076</v>
      </c>
      <c r="E76">
        <v>0</v>
      </c>
      <c r="F76">
        <v>0</v>
      </c>
      <c r="G76">
        <v>3615000</v>
      </c>
      <c r="H76">
        <v>66251</v>
      </c>
      <c r="I76">
        <v>54565.214110000001</v>
      </c>
      <c r="J76">
        <v>3560987.4</v>
      </c>
      <c r="K76">
        <v>54012.6</v>
      </c>
      <c r="L76">
        <v>1.6</v>
      </c>
      <c r="M76">
        <v>52571</v>
      </c>
      <c r="N76">
        <v>1994.2</v>
      </c>
      <c r="O76">
        <v>3.8</v>
      </c>
      <c r="P76" s="20">
        <v>3584814</v>
      </c>
      <c r="Q76" s="20">
        <f t="shared" si="1"/>
        <v>30186</v>
      </c>
    </row>
    <row r="77" spans="1:17" x14ac:dyDescent="0.25">
      <c r="A77" t="s">
        <v>93</v>
      </c>
      <c r="B77">
        <v>3735605</v>
      </c>
      <c r="C77">
        <v>1377297</v>
      </c>
      <c r="D77">
        <v>-206063</v>
      </c>
      <c r="E77">
        <v>0</v>
      </c>
      <c r="F77">
        <v>0</v>
      </c>
      <c r="G77">
        <v>2564371</v>
      </c>
      <c r="H77">
        <v>44068</v>
      </c>
      <c r="I77">
        <v>58191.227189999998</v>
      </c>
      <c r="J77">
        <v>2566334.2999999998</v>
      </c>
      <c r="K77">
        <v>-1963.3</v>
      </c>
      <c r="L77">
        <v>-0.1</v>
      </c>
      <c r="M77">
        <v>55971.6</v>
      </c>
      <c r="N77">
        <v>2219.6</v>
      </c>
      <c r="O77">
        <v>4</v>
      </c>
      <c r="P77" s="20">
        <v>2585693</v>
      </c>
      <c r="Q77" s="20">
        <f t="shared" si="1"/>
        <v>-21322</v>
      </c>
    </row>
    <row r="78" spans="1:17" x14ac:dyDescent="0.25">
      <c r="A78" t="s">
        <v>44</v>
      </c>
      <c r="B78">
        <v>6797362</v>
      </c>
      <c r="C78">
        <v>2634308</v>
      </c>
      <c r="D78">
        <v>-451810</v>
      </c>
      <c r="E78">
        <v>0</v>
      </c>
      <c r="F78">
        <v>1076</v>
      </c>
      <c r="G78">
        <v>4613788</v>
      </c>
      <c r="H78">
        <v>80734</v>
      </c>
      <c r="I78">
        <v>57148.016940000001</v>
      </c>
      <c r="J78">
        <v>4581541.3</v>
      </c>
      <c r="K78">
        <v>32246.7</v>
      </c>
      <c r="L78">
        <v>0.7</v>
      </c>
      <c r="M78">
        <v>55492.5</v>
      </c>
      <c r="N78">
        <v>1655.5</v>
      </c>
      <c r="O78">
        <v>3</v>
      </c>
      <c r="P78" s="20">
        <v>4617561</v>
      </c>
      <c r="Q78" s="20">
        <f t="shared" si="1"/>
        <v>-3773</v>
      </c>
    </row>
    <row r="79" spans="1:17" x14ac:dyDescent="0.25">
      <c r="A79" t="s">
        <v>37</v>
      </c>
      <c r="B79">
        <v>1743519</v>
      </c>
      <c r="C79">
        <v>447385</v>
      </c>
      <c r="D79">
        <v>-92716</v>
      </c>
      <c r="E79">
        <v>0</v>
      </c>
      <c r="F79">
        <v>0</v>
      </c>
      <c r="G79">
        <v>1388850</v>
      </c>
      <c r="H79">
        <v>24958</v>
      </c>
      <c r="I79">
        <v>55647.487780000003</v>
      </c>
      <c r="J79">
        <v>1388222.9</v>
      </c>
      <c r="K79">
        <v>627.1</v>
      </c>
      <c r="L79">
        <v>0</v>
      </c>
      <c r="M79">
        <v>54337.4</v>
      </c>
      <c r="N79">
        <v>1310</v>
      </c>
      <c r="O79">
        <v>2.4</v>
      </c>
      <c r="P79" s="20">
        <v>1397113</v>
      </c>
      <c r="Q79" s="20">
        <f t="shared" si="1"/>
        <v>-8263</v>
      </c>
    </row>
    <row r="80" spans="1:17" x14ac:dyDescent="0.25">
      <c r="A80" t="s">
        <v>46</v>
      </c>
      <c r="B80">
        <v>2439720</v>
      </c>
      <c r="C80">
        <v>899463</v>
      </c>
      <c r="D80">
        <v>-148641</v>
      </c>
      <c r="E80">
        <v>-14</v>
      </c>
      <c r="F80">
        <v>0</v>
      </c>
      <c r="G80">
        <v>1688912</v>
      </c>
      <c r="H80">
        <v>30744</v>
      </c>
      <c r="I80">
        <v>54934.686439999998</v>
      </c>
      <c r="J80">
        <v>1684726.2</v>
      </c>
      <c r="K80">
        <v>4185.8</v>
      </c>
      <c r="L80">
        <v>0.3</v>
      </c>
      <c r="M80">
        <v>53484.9</v>
      </c>
      <c r="N80">
        <v>1449.8</v>
      </c>
      <c r="O80">
        <v>2.7</v>
      </c>
      <c r="P80" s="20">
        <v>1697479</v>
      </c>
      <c r="Q80" s="20">
        <f t="shared" si="1"/>
        <v>-8567</v>
      </c>
    </row>
    <row r="81" spans="1:17" x14ac:dyDescent="0.25">
      <c r="A81" t="s">
        <v>45</v>
      </c>
      <c r="B81">
        <v>1849547</v>
      </c>
      <c r="C81">
        <v>655817</v>
      </c>
      <c r="D81">
        <v>-114961</v>
      </c>
      <c r="E81">
        <v>0</v>
      </c>
      <c r="F81">
        <v>0</v>
      </c>
      <c r="G81">
        <v>1308691</v>
      </c>
      <c r="H81">
        <v>23711</v>
      </c>
      <c r="I81">
        <v>55193.412340000003</v>
      </c>
      <c r="J81">
        <v>1286788</v>
      </c>
      <c r="K81">
        <v>21903</v>
      </c>
      <c r="L81">
        <v>1.8</v>
      </c>
      <c r="M81">
        <v>52482.9</v>
      </c>
      <c r="N81">
        <v>2710.5</v>
      </c>
      <c r="O81">
        <v>5.2</v>
      </c>
      <c r="P81" s="20">
        <v>1296426</v>
      </c>
      <c r="Q81" s="20">
        <f t="shared" si="1"/>
        <v>12265</v>
      </c>
    </row>
    <row r="82" spans="1:17" x14ac:dyDescent="0.25">
      <c r="A82" t="s">
        <v>79</v>
      </c>
      <c r="B82">
        <v>1672838</v>
      </c>
      <c r="C82">
        <v>606444</v>
      </c>
      <c r="D82">
        <v>-102981</v>
      </c>
      <c r="E82">
        <v>0</v>
      </c>
      <c r="F82">
        <v>0</v>
      </c>
      <c r="G82">
        <v>1169375</v>
      </c>
      <c r="H82">
        <v>20084</v>
      </c>
      <c r="I82">
        <v>58224.208330000001</v>
      </c>
      <c r="J82">
        <v>1183419.8999999999</v>
      </c>
      <c r="K82">
        <v>-14044.9</v>
      </c>
      <c r="L82">
        <v>-1.2</v>
      </c>
      <c r="M82">
        <v>56107</v>
      </c>
      <c r="N82">
        <v>2117.1999999999998</v>
      </c>
      <c r="O82">
        <v>3.8</v>
      </c>
      <c r="P82" s="20">
        <v>1192276</v>
      </c>
      <c r="Q82" s="20">
        <f t="shared" si="1"/>
        <v>-22901</v>
      </c>
    </row>
    <row r="83" spans="1:17" x14ac:dyDescent="0.25">
      <c r="A83" t="s">
        <v>59</v>
      </c>
      <c r="B83">
        <v>4858667</v>
      </c>
      <c r="C83">
        <v>1786190</v>
      </c>
      <c r="D83">
        <v>-323585</v>
      </c>
      <c r="E83">
        <v>306</v>
      </c>
      <c r="F83">
        <v>705</v>
      </c>
      <c r="G83">
        <v>3395051</v>
      </c>
      <c r="H83">
        <v>60356</v>
      </c>
      <c r="I83">
        <v>56250.430780000002</v>
      </c>
      <c r="J83">
        <v>3368798.7</v>
      </c>
      <c r="K83">
        <v>26252.3</v>
      </c>
      <c r="L83">
        <v>0.8</v>
      </c>
      <c r="M83">
        <v>54405.8</v>
      </c>
      <c r="N83">
        <v>1844.6</v>
      </c>
      <c r="O83">
        <v>3.4</v>
      </c>
      <c r="P83" s="20">
        <v>3393872</v>
      </c>
      <c r="Q83" s="20">
        <f t="shared" si="1"/>
        <v>1179</v>
      </c>
    </row>
    <row r="84" spans="1:17" x14ac:dyDescent="0.25">
      <c r="A84" t="s">
        <v>80</v>
      </c>
      <c r="B84">
        <v>3383925</v>
      </c>
      <c r="C84">
        <v>1201482</v>
      </c>
      <c r="D84">
        <v>-238010</v>
      </c>
      <c r="E84">
        <v>0</v>
      </c>
      <c r="F84">
        <v>0</v>
      </c>
      <c r="G84">
        <v>2420453</v>
      </c>
      <c r="H84">
        <v>44316</v>
      </c>
      <c r="I84">
        <v>54618.038630000003</v>
      </c>
      <c r="J84">
        <v>2403088.7999999998</v>
      </c>
      <c r="K84">
        <v>17364.2</v>
      </c>
      <c r="L84">
        <v>0.7</v>
      </c>
      <c r="M84">
        <v>52634.9</v>
      </c>
      <c r="N84">
        <v>1983.1</v>
      </c>
      <c r="O84">
        <v>3.8</v>
      </c>
      <c r="P84" s="20">
        <v>2420456</v>
      </c>
      <c r="Q84" s="20">
        <f t="shared" si="1"/>
        <v>-3</v>
      </c>
    </row>
    <row r="85" spans="1:17" x14ac:dyDescent="0.25">
      <c r="A85" t="s">
        <v>65</v>
      </c>
      <c r="B85">
        <v>6232317</v>
      </c>
      <c r="C85">
        <v>2288921</v>
      </c>
      <c r="D85">
        <v>-383584</v>
      </c>
      <c r="E85">
        <v>931</v>
      </c>
      <c r="F85">
        <v>0</v>
      </c>
      <c r="G85">
        <v>4326049</v>
      </c>
      <c r="H85">
        <v>73969</v>
      </c>
      <c r="I85">
        <v>58484.621939999997</v>
      </c>
      <c r="J85">
        <v>4304249.7</v>
      </c>
      <c r="K85">
        <v>21799.3</v>
      </c>
      <c r="L85">
        <v>0.5</v>
      </c>
      <c r="M85">
        <v>56345.8</v>
      </c>
      <c r="N85">
        <v>2138.8000000000002</v>
      </c>
      <c r="O85">
        <v>3.8</v>
      </c>
      <c r="P85" s="20">
        <v>4336858</v>
      </c>
      <c r="Q85" s="20">
        <f t="shared" si="1"/>
        <v>-10809</v>
      </c>
    </row>
    <row r="86" spans="1:17" x14ac:dyDescent="0.25">
      <c r="A86" t="s">
        <v>94</v>
      </c>
      <c r="B86">
        <v>3463369</v>
      </c>
      <c r="C86">
        <v>1262892</v>
      </c>
      <c r="D86">
        <v>-217478</v>
      </c>
      <c r="E86">
        <v>0</v>
      </c>
      <c r="F86">
        <v>0</v>
      </c>
      <c r="G86">
        <v>2417955</v>
      </c>
      <c r="H86">
        <v>42599</v>
      </c>
      <c r="I86">
        <v>56760.839460000003</v>
      </c>
      <c r="J86">
        <v>2411439.9</v>
      </c>
      <c r="K86">
        <v>6515.1</v>
      </c>
      <c r="L86">
        <v>0.3</v>
      </c>
      <c r="M86">
        <v>54551.1</v>
      </c>
      <c r="N86">
        <v>2209.6999999999998</v>
      </c>
      <c r="O86">
        <v>4.0999999999999996</v>
      </c>
      <c r="P86" s="20">
        <v>2429747</v>
      </c>
      <c r="Q86" s="20">
        <f t="shared" si="1"/>
        <v>-11792</v>
      </c>
    </row>
    <row r="87" spans="1:17" x14ac:dyDescent="0.25">
      <c r="A87" t="s">
        <v>66</v>
      </c>
      <c r="B87">
        <v>3119447</v>
      </c>
      <c r="C87">
        <v>1084485</v>
      </c>
      <c r="D87">
        <v>-167451</v>
      </c>
      <c r="E87">
        <v>0</v>
      </c>
      <c r="F87">
        <v>0</v>
      </c>
      <c r="G87">
        <v>2202413</v>
      </c>
      <c r="H87">
        <v>36266</v>
      </c>
      <c r="I87">
        <v>60729.415979999998</v>
      </c>
      <c r="J87">
        <v>2208027.7000000002</v>
      </c>
      <c r="K87">
        <v>-5614.7</v>
      </c>
      <c r="L87">
        <v>-0.3</v>
      </c>
      <c r="M87">
        <v>58676.6</v>
      </c>
      <c r="N87">
        <v>2052.8000000000002</v>
      </c>
      <c r="O87">
        <v>3.5</v>
      </c>
      <c r="P87" s="20">
        <v>2224385</v>
      </c>
      <c r="Q87" s="20">
        <f t="shared" si="1"/>
        <v>-21972</v>
      </c>
    </row>
    <row r="88" spans="1:17" x14ac:dyDescent="0.25">
      <c r="A88" t="s">
        <v>22</v>
      </c>
      <c r="B88">
        <v>3488383</v>
      </c>
      <c r="C88">
        <v>1106893</v>
      </c>
      <c r="D88">
        <v>-194211</v>
      </c>
      <c r="E88">
        <v>0</v>
      </c>
      <c r="F88">
        <v>13</v>
      </c>
      <c r="G88">
        <v>2575688</v>
      </c>
      <c r="H88">
        <v>44286</v>
      </c>
      <c r="I88">
        <v>58160.321550000001</v>
      </c>
      <c r="J88">
        <v>2558214.1</v>
      </c>
      <c r="K88">
        <v>17473.900000000001</v>
      </c>
      <c r="L88">
        <v>0.7</v>
      </c>
      <c r="M88">
        <v>56344.4</v>
      </c>
      <c r="N88">
        <v>1815.9</v>
      </c>
      <c r="O88">
        <v>3.2</v>
      </c>
      <c r="P88" s="20">
        <v>2576722</v>
      </c>
      <c r="Q88" s="20">
        <f t="shared" si="1"/>
        <v>-1034</v>
      </c>
    </row>
    <row r="89" spans="1:17" x14ac:dyDescent="0.25">
      <c r="A89" t="s">
        <v>23</v>
      </c>
      <c r="B89">
        <v>1393843</v>
      </c>
      <c r="C89">
        <v>331109</v>
      </c>
      <c r="D89">
        <v>-64379</v>
      </c>
      <c r="E89">
        <v>0</v>
      </c>
      <c r="F89">
        <v>0</v>
      </c>
      <c r="G89">
        <v>1127113</v>
      </c>
      <c r="H89">
        <v>18523</v>
      </c>
      <c r="I89">
        <v>60849.376450000003</v>
      </c>
      <c r="J89">
        <v>1069571.8</v>
      </c>
      <c r="K89">
        <v>57541.2</v>
      </c>
      <c r="L89">
        <v>5.5</v>
      </c>
      <c r="M89">
        <v>57968.9</v>
      </c>
      <c r="N89">
        <v>2880.4</v>
      </c>
      <c r="O89">
        <v>5</v>
      </c>
      <c r="P89" s="20">
        <v>1076318</v>
      </c>
      <c r="Q89" s="20">
        <f t="shared" si="1"/>
        <v>50795</v>
      </c>
    </row>
    <row r="90" spans="1:17" x14ac:dyDescent="0.25">
      <c r="A90" t="s">
        <v>69</v>
      </c>
      <c r="B90">
        <v>3955567</v>
      </c>
      <c r="C90">
        <v>1402777</v>
      </c>
      <c r="D90">
        <v>-254941</v>
      </c>
      <c r="E90">
        <v>0</v>
      </c>
      <c r="F90">
        <v>0</v>
      </c>
      <c r="G90">
        <v>2807731</v>
      </c>
      <c r="H90">
        <v>49319</v>
      </c>
      <c r="I90">
        <v>56930.006690000002</v>
      </c>
      <c r="J90">
        <v>2808337.8</v>
      </c>
      <c r="K90">
        <v>-606.79999999999995</v>
      </c>
      <c r="L90">
        <v>0</v>
      </c>
      <c r="M90">
        <v>54803.5</v>
      </c>
      <c r="N90">
        <v>2126.5</v>
      </c>
      <c r="O90">
        <v>3.9</v>
      </c>
      <c r="P90" s="20">
        <v>2829190</v>
      </c>
      <c r="Q90" s="20">
        <f t="shared" si="1"/>
        <v>-21459</v>
      </c>
    </row>
    <row r="91" spans="1:17" x14ac:dyDescent="0.25">
      <c r="A91" t="s">
        <v>70</v>
      </c>
      <c r="B91">
        <v>3400929</v>
      </c>
      <c r="C91">
        <v>1206457</v>
      </c>
      <c r="D91">
        <v>-229494</v>
      </c>
      <c r="E91">
        <v>0</v>
      </c>
      <c r="F91">
        <v>0</v>
      </c>
      <c r="G91">
        <v>2423966</v>
      </c>
      <c r="H91">
        <v>42614</v>
      </c>
      <c r="I91">
        <v>56881.916740000001</v>
      </c>
      <c r="J91">
        <v>2396361.5</v>
      </c>
      <c r="K91">
        <v>27604.5</v>
      </c>
      <c r="L91">
        <v>1.2</v>
      </c>
      <c r="M91">
        <v>54355.8</v>
      </c>
      <c r="N91">
        <v>2526.1</v>
      </c>
      <c r="O91">
        <v>4.5999999999999996</v>
      </c>
      <c r="P91" s="20">
        <v>2414244</v>
      </c>
      <c r="Q91" s="20">
        <f t="shared" si="1"/>
        <v>9722</v>
      </c>
    </row>
    <row r="92" spans="1:17" x14ac:dyDescent="0.25">
      <c r="A92" t="s">
        <v>75</v>
      </c>
      <c r="B92">
        <v>8814302</v>
      </c>
      <c r="C92">
        <v>3188605</v>
      </c>
      <c r="D92">
        <v>-538943</v>
      </c>
      <c r="E92">
        <v>97</v>
      </c>
      <c r="F92">
        <v>0</v>
      </c>
      <c r="G92">
        <v>6164543</v>
      </c>
      <c r="H92">
        <v>123516</v>
      </c>
      <c r="I92">
        <v>49908.862009999997</v>
      </c>
      <c r="J92">
        <v>6060710.7999999998</v>
      </c>
      <c r="K92">
        <v>103832.2</v>
      </c>
      <c r="L92">
        <v>1.8</v>
      </c>
      <c r="M92">
        <v>47850.9</v>
      </c>
      <c r="N92">
        <v>2058</v>
      </c>
      <c r="O92">
        <v>4.3</v>
      </c>
      <c r="P92" s="20">
        <v>6112149</v>
      </c>
      <c r="Q92" s="20">
        <f t="shared" si="1"/>
        <v>52394</v>
      </c>
    </row>
    <row r="93" spans="1:17" x14ac:dyDescent="0.25">
      <c r="A93" t="s">
        <v>98</v>
      </c>
      <c r="B93">
        <v>3105848</v>
      </c>
      <c r="C93">
        <v>1102433</v>
      </c>
      <c r="D93">
        <v>-201573</v>
      </c>
      <c r="E93">
        <v>0</v>
      </c>
      <c r="F93">
        <v>0</v>
      </c>
      <c r="G93">
        <v>2204988</v>
      </c>
      <c r="H93">
        <v>35677</v>
      </c>
      <c r="I93">
        <v>61804.187570000002</v>
      </c>
      <c r="J93">
        <v>2223724.7000000002</v>
      </c>
      <c r="K93">
        <v>-18736.7</v>
      </c>
      <c r="L93">
        <v>-0.9</v>
      </c>
      <c r="M93">
        <v>60176.9</v>
      </c>
      <c r="N93">
        <v>1627.2</v>
      </c>
      <c r="O93">
        <v>2.7</v>
      </c>
      <c r="P93" s="20">
        <v>2239325</v>
      </c>
      <c r="Q93" s="20">
        <f t="shared" si="1"/>
        <v>-34337</v>
      </c>
    </row>
    <row r="94" spans="1:17" x14ac:dyDescent="0.25">
      <c r="A94" t="s">
        <v>95</v>
      </c>
      <c r="B94">
        <v>7531365</v>
      </c>
      <c r="C94">
        <v>2886624</v>
      </c>
      <c r="D94">
        <v>-464717</v>
      </c>
      <c r="E94">
        <v>0</v>
      </c>
      <c r="F94">
        <v>0</v>
      </c>
      <c r="G94">
        <v>5109458</v>
      </c>
      <c r="H94">
        <v>97693</v>
      </c>
      <c r="I94">
        <v>52301.167939999999</v>
      </c>
      <c r="J94">
        <v>5099108.5</v>
      </c>
      <c r="K94">
        <v>10349.5</v>
      </c>
      <c r="L94">
        <v>0.2</v>
      </c>
      <c r="M94">
        <v>50757.3</v>
      </c>
      <c r="N94">
        <v>1543.9</v>
      </c>
      <c r="O94">
        <v>3</v>
      </c>
      <c r="P94" s="20">
        <v>5139340</v>
      </c>
      <c r="Q94" s="20">
        <f t="shared" si="1"/>
        <v>-29882</v>
      </c>
    </row>
    <row r="95" spans="1:17" x14ac:dyDescent="0.25">
      <c r="A95" t="s">
        <v>51</v>
      </c>
      <c r="B95">
        <v>3856332</v>
      </c>
      <c r="C95">
        <v>1424858</v>
      </c>
      <c r="D95">
        <v>-233952</v>
      </c>
      <c r="E95">
        <v>0</v>
      </c>
      <c r="F95">
        <v>126</v>
      </c>
      <c r="G95">
        <v>2665300</v>
      </c>
      <c r="H95">
        <v>45004</v>
      </c>
      <c r="I95">
        <v>59223.62457</v>
      </c>
      <c r="J95">
        <v>2622811.4</v>
      </c>
      <c r="K95">
        <v>42488.6</v>
      </c>
      <c r="L95">
        <v>1.7</v>
      </c>
      <c r="M95">
        <v>55623.7</v>
      </c>
      <c r="N95">
        <v>3599.9</v>
      </c>
      <c r="O95">
        <v>6.5</v>
      </c>
      <c r="P95" s="20">
        <v>2643098</v>
      </c>
      <c r="Q95" s="20">
        <f t="shared" si="1"/>
        <v>22202</v>
      </c>
    </row>
    <row r="96" spans="1:17" x14ac:dyDescent="0.25">
      <c r="A96" t="s">
        <v>62</v>
      </c>
      <c r="B96">
        <v>567106</v>
      </c>
      <c r="C96">
        <v>162446</v>
      </c>
      <c r="D96">
        <v>-25914</v>
      </c>
      <c r="E96">
        <v>0</v>
      </c>
      <c r="F96">
        <v>0</v>
      </c>
      <c r="G96">
        <v>430574</v>
      </c>
      <c r="H96">
        <v>5858</v>
      </c>
      <c r="I96">
        <v>73501.877770000006</v>
      </c>
      <c r="J96">
        <v>428159.9</v>
      </c>
      <c r="K96">
        <v>2414.1</v>
      </c>
      <c r="L96">
        <v>0.6</v>
      </c>
      <c r="M96">
        <v>69655.5</v>
      </c>
      <c r="N96">
        <v>3846.4</v>
      </c>
      <c r="O96">
        <v>5.5</v>
      </c>
      <c r="P96" s="20">
        <v>430557</v>
      </c>
      <c r="Q96" s="20">
        <f t="shared" si="1"/>
        <v>17</v>
      </c>
    </row>
    <row r="97" spans="1:17" x14ac:dyDescent="0.25">
      <c r="A97" t="s">
        <v>71</v>
      </c>
      <c r="B97">
        <v>4846116</v>
      </c>
      <c r="C97">
        <v>1689264</v>
      </c>
      <c r="D97">
        <v>-282559</v>
      </c>
      <c r="E97">
        <v>0</v>
      </c>
      <c r="F97">
        <v>0</v>
      </c>
      <c r="G97">
        <v>3439411</v>
      </c>
      <c r="H97">
        <v>58494</v>
      </c>
      <c r="I97">
        <v>58799.381130000002</v>
      </c>
      <c r="J97">
        <v>3446610.3</v>
      </c>
      <c r="K97">
        <v>-7199.3</v>
      </c>
      <c r="L97">
        <v>-0.2</v>
      </c>
      <c r="M97">
        <v>57114.7</v>
      </c>
      <c r="N97">
        <v>1684.7</v>
      </c>
      <c r="O97">
        <v>2.9</v>
      </c>
      <c r="P97" s="20">
        <v>3471925</v>
      </c>
      <c r="Q97" s="20">
        <f t="shared" si="1"/>
        <v>-32514</v>
      </c>
    </row>
    <row r="98" spans="1:17" x14ac:dyDescent="0.25">
      <c r="A98" t="s">
        <v>103</v>
      </c>
      <c r="B98">
        <v>16837060</v>
      </c>
      <c r="C98">
        <v>6219486</v>
      </c>
      <c r="D98">
        <v>-1074268</v>
      </c>
      <c r="E98">
        <v>0</v>
      </c>
      <c r="F98">
        <v>4750</v>
      </c>
      <c r="G98">
        <v>11687092</v>
      </c>
      <c r="H98">
        <v>225935</v>
      </c>
      <c r="I98">
        <v>51727.673889999998</v>
      </c>
      <c r="J98">
        <v>11617461.6</v>
      </c>
      <c r="K98">
        <v>69630.399999999994</v>
      </c>
      <c r="L98">
        <v>0.6</v>
      </c>
      <c r="M98">
        <v>50165.599999999999</v>
      </c>
      <c r="N98">
        <v>1562.1</v>
      </c>
      <c r="O98">
        <v>3.1</v>
      </c>
      <c r="P98" s="20">
        <v>11707111</v>
      </c>
      <c r="Q98" s="20">
        <f t="shared" si="1"/>
        <v>-20019</v>
      </c>
    </row>
    <row r="99" spans="1:17" x14ac:dyDescent="0.25">
      <c r="A99" t="s">
        <v>88</v>
      </c>
      <c r="B99">
        <v>26881563</v>
      </c>
      <c r="C99">
        <v>9922254</v>
      </c>
      <c r="D99">
        <v>-1782724</v>
      </c>
      <c r="E99">
        <v>12863</v>
      </c>
      <c r="F99">
        <v>0</v>
      </c>
      <c r="G99">
        <v>18729170</v>
      </c>
      <c r="H99">
        <v>377736</v>
      </c>
      <c r="I99">
        <v>49582.697970000001</v>
      </c>
      <c r="J99">
        <v>18584859.600000001</v>
      </c>
      <c r="K99">
        <v>144310.39999999999</v>
      </c>
      <c r="L99">
        <v>0.8</v>
      </c>
      <c r="M99">
        <v>48640.4</v>
      </c>
      <c r="N99">
        <v>942.3</v>
      </c>
      <c r="O99">
        <v>1.9</v>
      </c>
      <c r="P99" s="20">
        <v>18729172</v>
      </c>
      <c r="Q99" s="20">
        <f t="shared" si="1"/>
        <v>-2</v>
      </c>
    </row>
    <row r="100" spans="1:17" x14ac:dyDescent="0.25">
      <c r="A100" t="s">
        <v>5</v>
      </c>
      <c r="B100">
        <v>470309827</v>
      </c>
      <c r="C100">
        <v>162132147</v>
      </c>
      <c r="D100">
        <v>-28868823</v>
      </c>
      <c r="E100">
        <v>12545</v>
      </c>
      <c r="F100">
        <v>294660</v>
      </c>
      <c r="G100">
        <v>336739298</v>
      </c>
      <c r="H100">
        <v>6020396</v>
      </c>
      <c r="I100">
        <v>55933.081149999998</v>
      </c>
      <c r="J100">
        <v>334320487.39999998</v>
      </c>
      <c r="K100">
        <v>2418810.6</v>
      </c>
      <c r="L100">
        <v>0.7</v>
      </c>
      <c r="M100">
        <v>54186</v>
      </c>
      <c r="N100">
        <v>1747.1</v>
      </c>
      <c r="O100">
        <v>3.2</v>
      </c>
      <c r="P100" s="20">
        <v>336754174</v>
      </c>
      <c r="Q100" s="20">
        <f t="shared" si="1"/>
        <v>-14876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E138-AC02-40B9-B312-0C1B184311A6}">
  <dimension ref="A1:AI106"/>
  <sheetViews>
    <sheetView zoomScaleNormal="100" workbookViewId="0">
      <selection activeCell="T3" sqref="T3"/>
    </sheetView>
  </sheetViews>
  <sheetFormatPr defaultColWidth="8.85546875" defaultRowHeight="15" x14ac:dyDescent="0.25"/>
  <cols>
    <col min="1" max="1" width="40.7109375" style="6" customWidth="1"/>
    <col min="2" max="2" width="13" style="6" customWidth="1"/>
    <col min="3" max="3" width="7" style="6" customWidth="1"/>
    <col min="4" max="5" width="19.140625" style="6" customWidth="1"/>
    <col min="6" max="6" width="13.85546875" style="6" customWidth="1"/>
    <col min="7" max="7" width="16.140625" style="6" customWidth="1"/>
    <col min="8" max="8" width="21.42578125" style="6" customWidth="1"/>
    <col min="9" max="9" width="19.85546875" style="6" customWidth="1"/>
    <col min="10" max="11" width="15.28515625" style="6" customWidth="1"/>
    <col min="12" max="13" width="14.140625" style="6" customWidth="1"/>
    <col min="14" max="14" width="5.7109375" style="6" customWidth="1"/>
    <col min="15" max="15" width="16.5703125" style="6" customWidth="1"/>
    <col min="16" max="16" width="15.140625" style="6" customWidth="1"/>
    <col min="17" max="17" width="14.28515625" style="6" customWidth="1"/>
    <col min="18" max="18" width="15.85546875" style="6" customWidth="1"/>
    <col min="19" max="19" width="14.42578125" style="6" customWidth="1"/>
    <col min="20" max="20" width="25.28515625" style="6" bestFit="1" customWidth="1"/>
    <col min="21" max="22" width="8.85546875" style="6"/>
    <col min="23" max="23" width="16.28515625" style="6" bestFit="1" customWidth="1"/>
    <col min="24" max="25" width="8.85546875" style="6"/>
    <col min="26" max="26" width="16.5703125" style="6" customWidth="1"/>
    <col min="27" max="27" width="15.140625" style="6" customWidth="1"/>
    <col min="28" max="28" width="14.28515625" style="6" customWidth="1"/>
    <col min="29" max="29" width="15.85546875" style="6" customWidth="1"/>
    <col min="30" max="30" width="14.42578125" style="6" customWidth="1"/>
    <col min="31" max="31" width="18.5703125" style="6" bestFit="1" customWidth="1"/>
    <col min="32" max="32" width="8.85546875" style="6"/>
    <col min="33" max="33" width="11.85546875" style="6" bestFit="1" customWidth="1"/>
    <col min="34" max="16384" width="8.85546875" style="6"/>
  </cols>
  <sheetData>
    <row r="1" spans="1:35" ht="17.25" x14ac:dyDescent="0.3">
      <c r="A1" s="5" t="s">
        <v>107</v>
      </c>
      <c r="Z1" s="6" t="s">
        <v>108</v>
      </c>
      <c r="AA1" s="6">
        <v>1.04</v>
      </c>
    </row>
    <row r="2" spans="1:35" ht="18.75" x14ac:dyDescent="0.3">
      <c r="A2" s="7" t="s">
        <v>109</v>
      </c>
      <c r="E2" s="8">
        <v>2023</v>
      </c>
      <c r="H2" s="6" t="s">
        <v>110</v>
      </c>
      <c r="K2" s="9" t="s">
        <v>111</v>
      </c>
      <c r="O2" s="8">
        <v>2024</v>
      </c>
      <c r="T2" s="9" t="s">
        <v>112</v>
      </c>
      <c r="U2" s="6">
        <v>1.04</v>
      </c>
      <c r="Z2" s="10">
        <v>2025</v>
      </c>
    </row>
    <row r="3" spans="1:35" ht="165" x14ac:dyDescent="0.25">
      <c r="D3" s="10" t="s">
        <v>1</v>
      </c>
      <c r="E3" s="10" t="s">
        <v>113</v>
      </c>
      <c r="F3" s="11" t="s">
        <v>114</v>
      </c>
      <c r="G3" s="11" t="s">
        <v>115</v>
      </c>
      <c r="H3" s="12" t="s">
        <v>116</v>
      </c>
      <c r="I3" s="12" t="s">
        <v>117</v>
      </c>
      <c r="J3" s="10" t="s">
        <v>118</v>
      </c>
      <c r="K3" s="13" t="s">
        <v>119</v>
      </c>
      <c r="L3" s="6" t="s">
        <v>120</v>
      </c>
      <c r="M3" s="6" t="s">
        <v>121</v>
      </c>
      <c r="O3" s="10" t="s">
        <v>113</v>
      </c>
      <c r="P3" s="12" t="s">
        <v>122</v>
      </c>
      <c r="Q3" s="12" t="s">
        <v>123</v>
      </c>
      <c r="R3" s="12" t="s">
        <v>116</v>
      </c>
      <c r="S3" s="12" t="s">
        <v>117</v>
      </c>
      <c r="T3" s="13" t="s">
        <v>124</v>
      </c>
      <c r="U3" s="12" t="s">
        <v>125</v>
      </c>
      <c r="V3" s="12" t="s">
        <v>121</v>
      </c>
      <c r="X3" s="12" t="s">
        <v>126</v>
      </c>
      <c r="Y3" s="12" t="s">
        <v>127</v>
      </c>
      <c r="Z3" s="10" t="s">
        <v>113</v>
      </c>
      <c r="AA3" s="12" t="s">
        <v>122</v>
      </c>
      <c r="AB3" s="12" t="s">
        <v>123</v>
      </c>
      <c r="AC3" s="12" t="s">
        <v>116</v>
      </c>
      <c r="AD3" s="12" t="s">
        <v>117</v>
      </c>
      <c r="AE3" s="10" t="s">
        <v>128</v>
      </c>
      <c r="AF3" s="12" t="s">
        <v>125</v>
      </c>
      <c r="AG3" s="12" t="s">
        <v>121</v>
      </c>
      <c r="AH3" s="12" t="s">
        <v>126</v>
      </c>
      <c r="AI3" s="12" t="s">
        <v>127</v>
      </c>
    </row>
    <row r="4" spans="1:35" x14ac:dyDescent="0.25">
      <c r="A4" s="11" t="s">
        <v>129</v>
      </c>
      <c r="B4" s="11" t="s">
        <v>130</v>
      </c>
      <c r="C4" s="11" t="s">
        <v>131</v>
      </c>
      <c r="D4" s="11" t="s">
        <v>132</v>
      </c>
      <c r="E4" s="14">
        <v>400717769</v>
      </c>
      <c r="F4" s="14">
        <v>137269506</v>
      </c>
      <c r="G4" s="14">
        <v>-24596059</v>
      </c>
      <c r="H4" s="14">
        <v>26984</v>
      </c>
      <c r="I4" s="14">
        <v>259302</v>
      </c>
      <c r="J4" s="6">
        <f t="shared" ref="J4:J67" si="0">E4-(F4+G4)-H4-I4</f>
        <v>287758036</v>
      </c>
      <c r="K4" s="15">
        <f>+J4*1.042*1.04</f>
        <v>311837628.45248002</v>
      </c>
      <c r="L4" s="6">
        <v>5924362</v>
      </c>
      <c r="M4" s="15">
        <f>+K4/L4*1000</f>
        <v>52636.491229347572</v>
      </c>
      <c r="O4" s="14">
        <v>428284260</v>
      </c>
      <c r="P4" s="14">
        <v>147928768</v>
      </c>
      <c r="Q4" s="14">
        <v>-26020334</v>
      </c>
      <c r="R4" s="14">
        <v>11365</v>
      </c>
      <c r="S4" s="14">
        <v>266561</v>
      </c>
      <c r="T4" s="16">
        <f>(O4-(P4+Q4)-R4-S4)</f>
        <v>306097900</v>
      </c>
      <c r="U4" s="6">
        <v>5958486</v>
      </c>
      <c r="V4" s="15">
        <f>+T4/U4*1000</f>
        <v>51371.757859295132</v>
      </c>
      <c r="W4" s="11" t="s">
        <v>5</v>
      </c>
      <c r="X4" s="17">
        <f>+V4-M4</f>
        <v>-1264.7333700524396</v>
      </c>
      <c r="Y4" s="17">
        <f>+(T4/K4-1)*100</f>
        <v>-1.8406144508486322</v>
      </c>
      <c r="Z4" s="14">
        <f>SUM(Z5:Z102)</f>
        <v>452654094</v>
      </c>
      <c r="AA4" s="14">
        <f>SUM(AA5:AA102)</f>
        <v>155621744</v>
      </c>
      <c r="AB4" s="14">
        <f>SUM(AB5:AB102)</f>
        <v>-27525173</v>
      </c>
      <c r="AC4" s="14">
        <f>SUM(AC5:AC102)</f>
        <v>12310</v>
      </c>
      <c r="AD4" s="14">
        <f>SUM(AD5:AD102)</f>
        <v>277039</v>
      </c>
      <c r="AE4" s="16">
        <f>Z4-(AA4+AB4)-AC4-AD4</f>
        <v>324268174</v>
      </c>
      <c r="AF4" s="14">
        <f>SUM(AF5:AF102)</f>
        <v>5984354</v>
      </c>
      <c r="AG4" s="16">
        <f>AE4/AF4*1000</f>
        <v>54185.994678790725</v>
      </c>
      <c r="AH4" s="15">
        <f>AG4-V4</f>
        <v>2814.2368194955925</v>
      </c>
      <c r="AI4" s="17">
        <f>+(AE4/T4-1)*100</f>
        <v>5.9360988755558175</v>
      </c>
    </row>
    <row r="5" spans="1:35" ht="15.75" x14ac:dyDescent="0.25">
      <c r="D5" s="11" t="s">
        <v>16</v>
      </c>
      <c r="E5" s="14">
        <v>2402375</v>
      </c>
      <c r="F5" s="14">
        <v>742134</v>
      </c>
      <c r="G5" s="14">
        <v>-136611</v>
      </c>
      <c r="H5" s="14">
        <v>275</v>
      </c>
      <c r="I5" s="14">
        <v>0</v>
      </c>
      <c r="J5" s="6">
        <f t="shared" si="0"/>
        <v>1796577</v>
      </c>
      <c r="K5" s="15">
        <f t="shared" ref="K5:K68" si="1">+J5*1.042*1.04</f>
        <v>1946914.5633600003</v>
      </c>
      <c r="L5" s="18">
        <v>27680</v>
      </c>
      <c r="M5" s="15">
        <f t="shared" ref="M5:M68" si="2">+K5/L5*1000</f>
        <v>70336.508791907516</v>
      </c>
      <c r="N5" s="18"/>
      <c r="O5" s="14">
        <v>2552961</v>
      </c>
      <c r="P5" s="14">
        <v>823612</v>
      </c>
      <c r="Q5" s="14">
        <v>-145939</v>
      </c>
      <c r="R5" s="14">
        <v>288</v>
      </c>
      <c r="S5" s="14">
        <v>0</v>
      </c>
      <c r="T5" s="16">
        <f t="shared" ref="T5:T68" si="3">(O5-(P5+Q5)-R5-S5)</f>
        <v>1875000</v>
      </c>
      <c r="U5" s="6">
        <v>27451</v>
      </c>
      <c r="V5" s="15">
        <f t="shared" ref="V5:V68" si="4">+T5/U5*1000</f>
        <v>68303.522640340976</v>
      </c>
      <c r="W5" s="11" t="s">
        <v>16</v>
      </c>
      <c r="X5" s="17">
        <f t="shared" ref="X5:X68" si="5">+V5-M5</f>
        <v>-2032.9861515665398</v>
      </c>
      <c r="Y5" s="17">
        <f t="shared" ref="Y5:Y68" si="6">+(T5/K5-1)*100</f>
        <v>-3.6937708882247788</v>
      </c>
      <c r="Z5" s="14">
        <v>2701902</v>
      </c>
      <c r="AA5" s="14">
        <v>868403</v>
      </c>
      <c r="AB5" s="14">
        <v>-150814</v>
      </c>
      <c r="AC5" s="14">
        <v>302</v>
      </c>
      <c r="AD5" s="14">
        <v>0</v>
      </c>
      <c r="AE5" s="16">
        <f t="shared" ref="AE5:AE68" si="7">Z5-(AA5+AB5)-AC5-AD5</f>
        <v>1984011</v>
      </c>
      <c r="AF5" s="6">
        <v>27620</v>
      </c>
      <c r="AG5" s="16">
        <f t="shared" ref="AG5:AG68" si="8">AE5/AF5*1000</f>
        <v>71832.404055032588</v>
      </c>
      <c r="AH5" s="15">
        <f t="shared" ref="AH5:AH68" si="9">AG5-V5</f>
        <v>3528.881414691612</v>
      </c>
      <c r="AI5" s="17">
        <f t="shared" ref="AI5:AI68" si="10">+(AE5/T5-1)*100</f>
        <v>5.8139200000000057</v>
      </c>
    </row>
    <row r="6" spans="1:35" ht="15.75" x14ac:dyDescent="0.25">
      <c r="D6" s="11" t="s">
        <v>25</v>
      </c>
      <c r="E6" s="14">
        <v>1618985</v>
      </c>
      <c r="F6" s="14">
        <v>383422</v>
      </c>
      <c r="G6" s="14">
        <v>-90537</v>
      </c>
      <c r="H6" s="14">
        <v>0</v>
      </c>
      <c r="I6" s="14">
        <v>0</v>
      </c>
      <c r="J6" s="6">
        <f t="shared" si="0"/>
        <v>1326100</v>
      </c>
      <c r="K6" s="15">
        <f t="shared" si="1"/>
        <v>1437068.048</v>
      </c>
      <c r="L6" s="18">
        <v>26181</v>
      </c>
      <c r="M6" s="15">
        <f t="shared" si="2"/>
        <v>54889.731026316796</v>
      </c>
      <c r="N6" s="18"/>
      <c r="O6" s="14">
        <v>1728180</v>
      </c>
      <c r="P6" s="14">
        <v>389231</v>
      </c>
      <c r="Q6" s="14">
        <v>-93358</v>
      </c>
      <c r="R6" s="14">
        <v>0</v>
      </c>
      <c r="S6" s="14">
        <v>0</v>
      </c>
      <c r="T6" s="16">
        <f t="shared" si="3"/>
        <v>1432307</v>
      </c>
      <c r="U6" s="6">
        <v>26132</v>
      </c>
      <c r="V6" s="15">
        <f t="shared" si="4"/>
        <v>54810.462268483083</v>
      </c>
      <c r="W6" s="11" t="s">
        <v>25</v>
      </c>
      <c r="X6" s="17">
        <f t="shared" si="5"/>
        <v>-79.268757833713607</v>
      </c>
      <c r="Y6" s="17">
        <f t="shared" si="6"/>
        <v>-0.33130289178902039</v>
      </c>
      <c r="Z6" s="14">
        <v>1822795</v>
      </c>
      <c r="AA6" s="14">
        <v>398805</v>
      </c>
      <c r="AB6" s="14">
        <v>-96934</v>
      </c>
      <c r="AC6" s="14">
        <v>0</v>
      </c>
      <c r="AD6" s="14">
        <v>0</v>
      </c>
      <c r="AE6" s="16">
        <f t="shared" si="7"/>
        <v>1520924</v>
      </c>
      <c r="AF6" s="6">
        <v>25959</v>
      </c>
      <c r="AG6" s="16">
        <f t="shared" si="8"/>
        <v>58589.468007242191</v>
      </c>
      <c r="AH6" s="15">
        <f t="shared" si="9"/>
        <v>3779.0057387591078</v>
      </c>
      <c r="AI6" s="17">
        <f t="shared" si="10"/>
        <v>6.1870115834105288</v>
      </c>
    </row>
    <row r="7" spans="1:35" ht="15.75" x14ac:dyDescent="0.25">
      <c r="D7" s="11" t="s">
        <v>54</v>
      </c>
      <c r="E7" s="14">
        <v>2896221</v>
      </c>
      <c r="F7" s="14">
        <v>1073127</v>
      </c>
      <c r="G7" s="14">
        <v>-198908</v>
      </c>
      <c r="H7" s="14">
        <v>0</v>
      </c>
      <c r="I7" s="14">
        <v>0</v>
      </c>
      <c r="J7" s="6">
        <f t="shared" si="0"/>
        <v>2022002</v>
      </c>
      <c r="K7" s="15">
        <f t="shared" si="1"/>
        <v>2191203.1273600003</v>
      </c>
      <c r="L7" s="18">
        <v>41142</v>
      </c>
      <c r="M7" s="15">
        <f t="shared" si="2"/>
        <v>53259.518918866372</v>
      </c>
      <c r="N7" s="18"/>
      <c r="O7" s="14">
        <v>3134624</v>
      </c>
      <c r="P7" s="14">
        <v>1188508</v>
      </c>
      <c r="Q7" s="14">
        <v>-204702</v>
      </c>
      <c r="R7" s="14">
        <v>0</v>
      </c>
      <c r="S7" s="14">
        <v>0</v>
      </c>
      <c r="T7" s="16">
        <f t="shared" si="3"/>
        <v>2150818</v>
      </c>
      <c r="U7" s="6">
        <v>40894</v>
      </c>
      <c r="V7" s="15">
        <f t="shared" si="4"/>
        <v>52594.952804812441</v>
      </c>
      <c r="W7" s="11" t="s">
        <v>54</v>
      </c>
      <c r="X7" s="17">
        <f t="shared" si="5"/>
        <v>-664.56611405393051</v>
      </c>
      <c r="Y7" s="17">
        <f t="shared" si="6"/>
        <v>-1.8430572161813652</v>
      </c>
      <c r="Z7" s="14">
        <v>3288633</v>
      </c>
      <c r="AA7" s="14">
        <v>1253084</v>
      </c>
      <c r="AB7" s="14">
        <v>-206914</v>
      </c>
      <c r="AC7" s="14">
        <v>0</v>
      </c>
      <c r="AD7" s="14">
        <v>0</v>
      </c>
      <c r="AE7" s="16">
        <f t="shared" si="7"/>
        <v>2242463</v>
      </c>
      <c r="AF7" s="6">
        <v>40580</v>
      </c>
      <c r="AG7" s="16">
        <f t="shared" si="8"/>
        <v>55260.300640709705</v>
      </c>
      <c r="AH7" s="15">
        <f t="shared" si="9"/>
        <v>2665.3478358972643</v>
      </c>
      <c r="AI7" s="17">
        <f t="shared" si="10"/>
        <v>4.2609370016430947</v>
      </c>
    </row>
    <row r="8" spans="1:35" ht="15.75" x14ac:dyDescent="0.25">
      <c r="D8" s="11" t="s">
        <v>9</v>
      </c>
      <c r="E8" s="14">
        <v>4090338</v>
      </c>
      <c r="F8" s="14">
        <v>1243729</v>
      </c>
      <c r="G8" s="14">
        <v>-198001</v>
      </c>
      <c r="H8" s="14">
        <v>1576</v>
      </c>
      <c r="I8" s="14">
        <v>0</v>
      </c>
      <c r="J8" s="6">
        <f t="shared" si="0"/>
        <v>3043034</v>
      </c>
      <c r="K8" s="15">
        <f t="shared" si="1"/>
        <v>3297675.0851200004</v>
      </c>
      <c r="L8" s="18">
        <v>49689</v>
      </c>
      <c r="M8" s="15">
        <f t="shared" si="2"/>
        <v>66366.3000889533</v>
      </c>
      <c r="N8" s="18"/>
      <c r="O8" s="14">
        <v>4388100</v>
      </c>
      <c r="P8" s="14">
        <v>1312934</v>
      </c>
      <c r="Q8" s="14">
        <v>-218525</v>
      </c>
      <c r="R8" s="14">
        <v>1638</v>
      </c>
      <c r="S8" s="14">
        <v>0</v>
      </c>
      <c r="T8" s="16">
        <f t="shared" si="3"/>
        <v>3292053</v>
      </c>
      <c r="U8" s="6">
        <v>50344</v>
      </c>
      <c r="V8" s="15">
        <f t="shared" si="4"/>
        <v>65391.168758938504</v>
      </c>
      <c r="W8" s="11" t="s">
        <v>9</v>
      </c>
      <c r="X8" s="17">
        <f t="shared" si="5"/>
        <v>-975.13133001479582</v>
      </c>
      <c r="Y8" s="17">
        <f t="shared" si="6"/>
        <v>-0.17048632672662656</v>
      </c>
      <c r="Z8" s="14">
        <v>4791618</v>
      </c>
      <c r="AA8" s="14">
        <v>1441948</v>
      </c>
      <c r="AB8" s="14">
        <v>-229079</v>
      </c>
      <c r="AC8" s="14">
        <v>1721</v>
      </c>
      <c r="AD8" s="14">
        <v>0</v>
      </c>
      <c r="AE8" s="16">
        <f t="shared" si="7"/>
        <v>3577028</v>
      </c>
      <c r="AF8" s="6">
        <v>51699</v>
      </c>
      <c r="AG8" s="16">
        <f t="shared" si="8"/>
        <v>69189.500764037992</v>
      </c>
      <c r="AH8" s="15">
        <f t="shared" si="9"/>
        <v>3798.332005099488</v>
      </c>
      <c r="AI8" s="17">
        <f t="shared" si="10"/>
        <v>8.6564523718178243</v>
      </c>
    </row>
    <row r="9" spans="1:35" ht="15.75" x14ac:dyDescent="0.25">
      <c r="D9" s="11" t="s">
        <v>64</v>
      </c>
      <c r="E9" s="14">
        <v>1936020</v>
      </c>
      <c r="F9" s="14">
        <v>670433</v>
      </c>
      <c r="G9" s="14">
        <v>-117913</v>
      </c>
      <c r="H9" s="14">
        <v>0</v>
      </c>
      <c r="I9" s="14">
        <v>0</v>
      </c>
      <c r="J9" s="6">
        <f t="shared" si="0"/>
        <v>1383500</v>
      </c>
      <c r="K9" s="15">
        <f t="shared" si="1"/>
        <v>1499271.28</v>
      </c>
      <c r="L9" s="18">
        <v>26817</v>
      </c>
      <c r="M9" s="15">
        <f t="shared" si="2"/>
        <v>55907.494499757617</v>
      </c>
      <c r="N9" s="18"/>
      <c r="O9" s="14">
        <v>2078054</v>
      </c>
      <c r="P9" s="14">
        <v>733645</v>
      </c>
      <c r="Q9" s="14">
        <v>-126541</v>
      </c>
      <c r="R9" s="14">
        <v>0</v>
      </c>
      <c r="S9" s="14">
        <v>0</v>
      </c>
      <c r="T9" s="16">
        <f t="shared" si="3"/>
        <v>1470950</v>
      </c>
      <c r="U9" s="6">
        <v>27079</v>
      </c>
      <c r="V9" s="15">
        <f t="shared" si="4"/>
        <v>54320.691310609698</v>
      </c>
      <c r="W9" s="11" t="s">
        <v>64</v>
      </c>
      <c r="X9" s="17">
        <f t="shared" si="5"/>
        <v>-1586.8031891479186</v>
      </c>
      <c r="Y9" s="17">
        <f t="shared" si="6"/>
        <v>-1.889003036195025</v>
      </c>
      <c r="Z9" s="14">
        <v>2203822</v>
      </c>
      <c r="AA9" s="14">
        <v>773235</v>
      </c>
      <c r="AB9" s="14">
        <v>-127726</v>
      </c>
      <c r="AC9" s="14">
        <v>0</v>
      </c>
      <c r="AD9" s="14">
        <v>0</v>
      </c>
      <c r="AE9" s="16">
        <f t="shared" si="7"/>
        <v>1558313</v>
      </c>
      <c r="AF9" s="6">
        <v>27166</v>
      </c>
      <c r="AG9" s="16">
        <f t="shared" si="8"/>
        <v>57362.622395641607</v>
      </c>
      <c r="AH9" s="15">
        <f t="shared" si="9"/>
        <v>3041.9310850319089</v>
      </c>
      <c r="AI9" s="17">
        <f t="shared" si="10"/>
        <v>5.9392229511540107</v>
      </c>
    </row>
    <row r="10" spans="1:35" ht="15.75" x14ac:dyDescent="0.25">
      <c r="D10" s="11" t="s">
        <v>52</v>
      </c>
      <c r="E10" s="14">
        <v>3136951</v>
      </c>
      <c r="F10" s="14">
        <v>1214471</v>
      </c>
      <c r="G10" s="14">
        <v>-209179</v>
      </c>
      <c r="H10" s="14">
        <v>160</v>
      </c>
      <c r="I10" s="14">
        <v>0</v>
      </c>
      <c r="J10" s="6">
        <f t="shared" si="0"/>
        <v>2131499</v>
      </c>
      <c r="K10" s="15">
        <f t="shared" si="1"/>
        <v>2309862.8363200002</v>
      </c>
      <c r="L10" s="18">
        <v>39787</v>
      </c>
      <c r="M10" s="15">
        <f t="shared" si="2"/>
        <v>58055.717604242593</v>
      </c>
      <c r="N10" s="18"/>
      <c r="O10" s="14">
        <v>3274230</v>
      </c>
      <c r="P10" s="14">
        <v>1255829</v>
      </c>
      <c r="Q10" s="14">
        <v>-211945</v>
      </c>
      <c r="R10" s="14">
        <v>240</v>
      </c>
      <c r="S10" s="14">
        <v>0</v>
      </c>
      <c r="T10" s="16">
        <f t="shared" si="3"/>
        <v>2230106</v>
      </c>
      <c r="U10" s="6">
        <v>39616</v>
      </c>
      <c r="V10" s="15">
        <f t="shared" si="4"/>
        <v>56293.063408723749</v>
      </c>
      <c r="W10" s="11" t="s">
        <v>52</v>
      </c>
      <c r="X10" s="17">
        <f t="shared" si="5"/>
        <v>-1762.6541955188441</v>
      </c>
      <c r="Y10" s="17">
        <f t="shared" si="6"/>
        <v>-3.4528819229398988</v>
      </c>
      <c r="Z10" s="14">
        <v>3423616</v>
      </c>
      <c r="AA10" s="14">
        <v>1311044</v>
      </c>
      <c r="AB10" s="14">
        <v>-217994</v>
      </c>
      <c r="AC10" s="14">
        <v>240</v>
      </c>
      <c r="AD10" s="14">
        <v>0</v>
      </c>
      <c r="AE10" s="16">
        <f t="shared" si="7"/>
        <v>2330326</v>
      </c>
      <c r="AF10" s="6">
        <v>39232</v>
      </c>
      <c r="AG10" s="16">
        <f t="shared" si="8"/>
        <v>59398.603181076673</v>
      </c>
      <c r="AH10" s="15">
        <f t="shared" si="9"/>
        <v>3105.539772352924</v>
      </c>
      <c r="AI10" s="17">
        <f t="shared" si="10"/>
        <v>4.4939567894978882</v>
      </c>
    </row>
    <row r="11" spans="1:35" ht="15.75" x14ac:dyDescent="0.25">
      <c r="D11" s="11" t="s">
        <v>10</v>
      </c>
      <c r="E11" s="14">
        <v>3094966</v>
      </c>
      <c r="F11" s="14">
        <v>1059183</v>
      </c>
      <c r="G11" s="14">
        <v>-180220</v>
      </c>
      <c r="H11" s="14">
        <v>499</v>
      </c>
      <c r="I11" s="14">
        <v>0</v>
      </c>
      <c r="J11" s="6">
        <f t="shared" si="0"/>
        <v>2215504</v>
      </c>
      <c r="K11" s="15">
        <f t="shared" si="1"/>
        <v>2400897.3747200002</v>
      </c>
      <c r="L11" s="18">
        <v>35786</v>
      </c>
      <c r="M11" s="15">
        <f t="shared" si="2"/>
        <v>67090.408950986428</v>
      </c>
      <c r="N11" s="18"/>
      <c r="O11" s="14">
        <v>3336555</v>
      </c>
      <c r="P11" s="14">
        <v>1160276</v>
      </c>
      <c r="Q11" s="14">
        <v>-190242</v>
      </c>
      <c r="R11" s="14">
        <v>517</v>
      </c>
      <c r="S11" s="14">
        <v>0</v>
      </c>
      <c r="T11" s="16">
        <f t="shared" si="3"/>
        <v>2366004</v>
      </c>
      <c r="U11" s="6">
        <v>37428</v>
      </c>
      <c r="V11" s="15">
        <f t="shared" si="4"/>
        <v>63214.812439884576</v>
      </c>
      <c r="W11" s="11" t="s">
        <v>10</v>
      </c>
      <c r="X11" s="17">
        <f t="shared" si="5"/>
        <v>-3875.5965111018522</v>
      </c>
      <c r="Y11" s="17">
        <f t="shared" si="6"/>
        <v>-1.4533471979021884</v>
      </c>
      <c r="Z11" s="14">
        <v>3555864</v>
      </c>
      <c r="AA11" s="14">
        <v>1229297</v>
      </c>
      <c r="AB11" s="14">
        <v>-205794</v>
      </c>
      <c r="AC11" s="14">
        <v>364</v>
      </c>
      <c r="AD11" s="14">
        <v>0</v>
      </c>
      <c r="AE11" s="16">
        <f t="shared" si="7"/>
        <v>2531997</v>
      </c>
      <c r="AF11" s="6">
        <v>39714</v>
      </c>
      <c r="AG11" s="16">
        <f t="shared" si="8"/>
        <v>63755.778818552652</v>
      </c>
      <c r="AH11" s="15">
        <f t="shared" si="9"/>
        <v>540.96637866807578</v>
      </c>
      <c r="AI11" s="17">
        <f t="shared" si="10"/>
        <v>7.0157531432744724</v>
      </c>
    </row>
    <row r="12" spans="1:35" ht="15.75" x14ac:dyDescent="0.25">
      <c r="D12" s="11" t="s">
        <v>96</v>
      </c>
      <c r="E12" s="14">
        <v>2634649</v>
      </c>
      <c r="F12" s="14">
        <v>933087</v>
      </c>
      <c r="G12" s="14">
        <v>-188818</v>
      </c>
      <c r="H12" s="14">
        <v>0</v>
      </c>
      <c r="I12" s="14">
        <v>0</v>
      </c>
      <c r="J12" s="6">
        <f t="shared" si="0"/>
        <v>1890380</v>
      </c>
      <c r="K12" s="15">
        <f t="shared" si="1"/>
        <v>2048566.9983999999</v>
      </c>
      <c r="L12" s="18">
        <v>36435</v>
      </c>
      <c r="M12" s="15">
        <f t="shared" si="2"/>
        <v>56225.250402085905</v>
      </c>
      <c r="N12" s="18"/>
      <c r="O12" s="14">
        <v>2810857</v>
      </c>
      <c r="P12" s="14">
        <v>1014808</v>
      </c>
      <c r="Q12" s="14">
        <v>-195836</v>
      </c>
      <c r="R12" s="14">
        <v>0</v>
      </c>
      <c r="S12" s="14">
        <v>0</v>
      </c>
      <c r="T12" s="16">
        <f t="shared" si="3"/>
        <v>1991885</v>
      </c>
      <c r="U12" s="6">
        <v>36579</v>
      </c>
      <c r="V12" s="15">
        <f t="shared" si="4"/>
        <v>54454.331720386013</v>
      </c>
      <c r="W12" s="11" t="s">
        <v>96</v>
      </c>
      <c r="X12" s="17">
        <f t="shared" si="5"/>
        <v>-1770.9186816998917</v>
      </c>
      <c r="Y12" s="17">
        <f t="shared" si="6"/>
        <v>-2.7669096712126362</v>
      </c>
      <c r="Z12" s="14">
        <v>2935323</v>
      </c>
      <c r="AA12" s="14">
        <v>1063179</v>
      </c>
      <c r="AB12" s="14">
        <v>-194715</v>
      </c>
      <c r="AC12" s="14">
        <v>0</v>
      </c>
      <c r="AD12" s="14">
        <v>0</v>
      </c>
      <c r="AE12" s="16">
        <f t="shared" si="7"/>
        <v>2066859</v>
      </c>
      <c r="AF12" s="6">
        <v>36642</v>
      </c>
      <c r="AG12" s="16">
        <f t="shared" si="8"/>
        <v>56406.828229900115</v>
      </c>
      <c r="AH12" s="15">
        <f t="shared" si="9"/>
        <v>1952.4965095141015</v>
      </c>
      <c r="AI12" s="17">
        <f t="shared" si="10"/>
        <v>3.7639723176789763</v>
      </c>
    </row>
    <row r="13" spans="1:35" ht="15.75" x14ac:dyDescent="0.25">
      <c r="D13" s="11" t="s">
        <v>11</v>
      </c>
      <c r="E13" s="14">
        <v>925259</v>
      </c>
      <c r="F13" s="14">
        <v>229723</v>
      </c>
      <c r="G13" s="14">
        <v>-42153</v>
      </c>
      <c r="H13" s="14">
        <v>0</v>
      </c>
      <c r="I13" s="14">
        <v>0</v>
      </c>
      <c r="J13" s="6">
        <f t="shared" si="0"/>
        <v>737689</v>
      </c>
      <c r="K13" s="15">
        <f t="shared" si="1"/>
        <v>799418.81552000006</v>
      </c>
      <c r="L13" s="18">
        <v>14795</v>
      </c>
      <c r="M13" s="15">
        <f t="shared" si="2"/>
        <v>54033.039237580269</v>
      </c>
      <c r="N13" s="18"/>
      <c r="O13" s="14">
        <v>984782</v>
      </c>
      <c r="P13" s="14">
        <v>245360</v>
      </c>
      <c r="Q13" s="14">
        <v>-44305</v>
      </c>
      <c r="R13" s="14">
        <v>0</v>
      </c>
      <c r="S13" s="14">
        <v>0</v>
      </c>
      <c r="T13" s="16">
        <f t="shared" si="3"/>
        <v>783727</v>
      </c>
      <c r="U13" s="6">
        <v>14668</v>
      </c>
      <c r="V13" s="15">
        <f t="shared" si="4"/>
        <v>53431.074447777479</v>
      </c>
      <c r="W13" s="11" t="s">
        <v>11</v>
      </c>
      <c r="X13" s="17">
        <f t="shared" si="5"/>
        <v>-601.96478980279062</v>
      </c>
      <c r="Y13" s="17">
        <f t="shared" si="6"/>
        <v>-1.9629029509135254</v>
      </c>
      <c r="Z13" s="14">
        <v>1001337</v>
      </c>
      <c r="AA13" s="14">
        <v>240914</v>
      </c>
      <c r="AB13" s="14">
        <v>-38480</v>
      </c>
      <c r="AC13" s="14">
        <v>0</v>
      </c>
      <c r="AD13" s="14">
        <v>0</v>
      </c>
      <c r="AE13" s="16">
        <f t="shared" si="7"/>
        <v>798903</v>
      </c>
      <c r="AF13" s="6">
        <v>14520</v>
      </c>
      <c r="AG13" s="16">
        <f t="shared" si="8"/>
        <v>55020.867768595039</v>
      </c>
      <c r="AH13" s="15">
        <f t="shared" si="9"/>
        <v>1589.79332081756</v>
      </c>
      <c r="AI13" s="17">
        <f t="shared" si="10"/>
        <v>1.9363885638749245</v>
      </c>
    </row>
    <row r="14" spans="1:35" ht="15.75" x14ac:dyDescent="0.25">
      <c r="D14" s="11" t="s">
        <v>31</v>
      </c>
      <c r="E14" s="14">
        <v>2704218</v>
      </c>
      <c r="F14" s="14">
        <v>695253</v>
      </c>
      <c r="G14" s="14">
        <v>-147122</v>
      </c>
      <c r="H14" s="14">
        <v>0</v>
      </c>
      <c r="I14" s="14">
        <v>0</v>
      </c>
      <c r="J14" s="6">
        <f t="shared" si="0"/>
        <v>2156087</v>
      </c>
      <c r="K14" s="15">
        <f t="shared" si="1"/>
        <v>2336508.3601600002</v>
      </c>
      <c r="L14" s="18">
        <v>44920</v>
      </c>
      <c r="M14" s="15">
        <f t="shared" si="2"/>
        <v>52014.878899376679</v>
      </c>
      <c r="N14" s="18"/>
      <c r="O14" s="14">
        <v>2911417</v>
      </c>
      <c r="P14" s="14">
        <v>754385</v>
      </c>
      <c r="Q14" s="14">
        <v>-161105</v>
      </c>
      <c r="R14" s="14">
        <v>0</v>
      </c>
      <c r="S14" s="14">
        <v>0</v>
      </c>
      <c r="T14" s="16">
        <f t="shared" si="3"/>
        <v>2318137</v>
      </c>
      <c r="U14" s="6">
        <v>45556</v>
      </c>
      <c r="V14" s="15">
        <f t="shared" si="4"/>
        <v>50885.437703046795</v>
      </c>
      <c r="W14" s="11" t="s">
        <v>31</v>
      </c>
      <c r="X14" s="17">
        <f t="shared" si="5"/>
        <v>-1129.4411963298844</v>
      </c>
      <c r="Y14" s="17">
        <f t="shared" si="6"/>
        <v>-0.78627410341224335</v>
      </c>
      <c r="Z14" s="14">
        <v>3092348</v>
      </c>
      <c r="AA14" s="14">
        <v>794755</v>
      </c>
      <c r="AB14" s="14">
        <v>-170365</v>
      </c>
      <c r="AC14" s="14">
        <v>0</v>
      </c>
      <c r="AD14" s="14">
        <v>0</v>
      </c>
      <c r="AE14" s="16">
        <f t="shared" si="7"/>
        <v>2467958</v>
      </c>
      <c r="AF14" s="6">
        <v>45860</v>
      </c>
      <c r="AG14" s="16">
        <f t="shared" si="8"/>
        <v>53815.045791539465</v>
      </c>
      <c r="AH14" s="15">
        <f t="shared" si="9"/>
        <v>2929.6080884926705</v>
      </c>
      <c r="AI14" s="17">
        <f t="shared" si="10"/>
        <v>6.4629916178379432</v>
      </c>
    </row>
    <row r="15" spans="1:35" ht="15.75" x14ac:dyDescent="0.25">
      <c r="D15" s="11" t="s">
        <v>67</v>
      </c>
      <c r="E15" s="14">
        <v>8103620</v>
      </c>
      <c r="F15" s="14">
        <v>2903178</v>
      </c>
      <c r="G15" s="14">
        <v>-499141</v>
      </c>
      <c r="H15" s="14">
        <v>0</v>
      </c>
      <c r="I15" s="14">
        <v>0</v>
      </c>
      <c r="J15" s="6">
        <f t="shared" si="0"/>
        <v>5699583</v>
      </c>
      <c r="K15" s="15">
        <f t="shared" si="1"/>
        <v>6176524.105440001</v>
      </c>
      <c r="L15" s="18">
        <v>116036</v>
      </c>
      <c r="M15" s="15">
        <f t="shared" si="2"/>
        <v>53229.377998552183</v>
      </c>
      <c r="N15" s="18"/>
      <c r="O15" s="14">
        <v>8581447</v>
      </c>
      <c r="P15" s="14">
        <v>3176932</v>
      </c>
      <c r="Q15" s="14">
        <v>-569602</v>
      </c>
      <c r="R15" s="14">
        <v>0</v>
      </c>
      <c r="S15" s="14">
        <v>0</v>
      </c>
      <c r="T15" s="16">
        <f t="shared" si="3"/>
        <v>5974117</v>
      </c>
      <c r="U15" s="6">
        <v>115836</v>
      </c>
      <c r="V15" s="15">
        <f t="shared" si="4"/>
        <v>51573.923478020653</v>
      </c>
      <c r="W15" s="11" t="s">
        <v>67</v>
      </c>
      <c r="X15" s="17">
        <f t="shared" si="5"/>
        <v>-1655.4545205315299</v>
      </c>
      <c r="Y15" s="17">
        <f t="shared" si="6"/>
        <v>-3.2770390268813121</v>
      </c>
      <c r="Z15" s="14">
        <v>9080464</v>
      </c>
      <c r="AA15" s="14">
        <v>3382524</v>
      </c>
      <c r="AB15" s="14">
        <v>-588725</v>
      </c>
      <c r="AC15" s="14">
        <v>0</v>
      </c>
      <c r="AD15" s="14">
        <v>0</v>
      </c>
      <c r="AE15" s="16">
        <f t="shared" si="7"/>
        <v>6286665</v>
      </c>
      <c r="AF15" s="6">
        <v>115467</v>
      </c>
      <c r="AG15" s="16">
        <f t="shared" si="8"/>
        <v>54445.555873106598</v>
      </c>
      <c r="AH15" s="15">
        <f t="shared" si="9"/>
        <v>2871.6323950859442</v>
      </c>
      <c r="AI15" s="17">
        <f t="shared" si="10"/>
        <v>5.2317020239141643</v>
      </c>
    </row>
    <row r="16" spans="1:35" ht="15.75" x14ac:dyDescent="0.25">
      <c r="D16" s="11" t="s">
        <v>68</v>
      </c>
      <c r="E16" s="14">
        <v>246570</v>
      </c>
      <c r="F16" s="14">
        <v>63874</v>
      </c>
      <c r="G16" s="14">
        <v>-8886</v>
      </c>
      <c r="H16" s="14">
        <v>0</v>
      </c>
      <c r="I16" s="14">
        <v>0</v>
      </c>
      <c r="J16" s="6">
        <f t="shared" si="0"/>
        <v>191582</v>
      </c>
      <c r="K16" s="15">
        <f t="shared" si="1"/>
        <v>207613.58176000003</v>
      </c>
      <c r="L16" s="18">
        <v>3446</v>
      </c>
      <c r="M16" s="15">
        <f t="shared" si="2"/>
        <v>60247.702193847952</v>
      </c>
      <c r="N16" s="18"/>
      <c r="O16" s="14">
        <v>262693</v>
      </c>
      <c r="P16" s="14">
        <v>69074</v>
      </c>
      <c r="Q16" s="14">
        <v>-10311</v>
      </c>
      <c r="R16" s="14">
        <v>0</v>
      </c>
      <c r="S16" s="14">
        <v>0</v>
      </c>
      <c r="T16" s="16">
        <f t="shared" si="3"/>
        <v>203930</v>
      </c>
      <c r="U16" s="6">
        <v>3426</v>
      </c>
      <c r="V16" s="15">
        <f t="shared" si="4"/>
        <v>59524.226503210739</v>
      </c>
      <c r="W16" s="11" t="s">
        <v>68</v>
      </c>
      <c r="X16" s="17">
        <f t="shared" si="5"/>
        <v>-723.47569063721312</v>
      </c>
      <c r="Y16" s="17">
        <f t="shared" si="6"/>
        <v>-1.7742489334143019</v>
      </c>
      <c r="Z16" s="14">
        <v>278654</v>
      </c>
      <c r="AA16" s="14">
        <v>76429</v>
      </c>
      <c r="AB16" s="14">
        <v>-10192</v>
      </c>
      <c r="AC16" s="14">
        <v>0</v>
      </c>
      <c r="AD16" s="14">
        <v>0</v>
      </c>
      <c r="AE16" s="16">
        <f t="shared" si="7"/>
        <v>212417</v>
      </c>
      <c r="AF16" s="6">
        <v>3323</v>
      </c>
      <c r="AG16" s="16">
        <f t="shared" si="8"/>
        <v>63923.262112548902</v>
      </c>
      <c r="AH16" s="15">
        <f t="shared" si="9"/>
        <v>4399.0356093381633</v>
      </c>
      <c r="AI16" s="17">
        <f t="shared" si="10"/>
        <v>4.1617221595645626</v>
      </c>
    </row>
    <row r="17" spans="4:35" ht="15.75" x14ac:dyDescent="0.25">
      <c r="D17" s="11" t="s">
        <v>82</v>
      </c>
      <c r="E17" s="14">
        <v>3014281</v>
      </c>
      <c r="F17" s="14">
        <v>967647</v>
      </c>
      <c r="G17" s="14">
        <v>-204048</v>
      </c>
      <c r="H17" s="14">
        <v>0</v>
      </c>
      <c r="I17" s="14">
        <v>0</v>
      </c>
      <c r="J17" s="6">
        <f t="shared" si="0"/>
        <v>2250682</v>
      </c>
      <c r="K17" s="15">
        <f t="shared" si="1"/>
        <v>2439019.0697599999</v>
      </c>
      <c r="L17" s="18">
        <v>49346</v>
      </c>
      <c r="M17" s="15">
        <f t="shared" si="2"/>
        <v>49426.885051675919</v>
      </c>
      <c r="N17" s="18"/>
      <c r="O17" s="14">
        <v>3237388</v>
      </c>
      <c r="P17" s="14">
        <v>1069859</v>
      </c>
      <c r="Q17" s="14">
        <v>-227153</v>
      </c>
      <c r="R17" s="14">
        <v>0</v>
      </c>
      <c r="S17" s="14">
        <v>0</v>
      </c>
      <c r="T17" s="16">
        <f t="shared" si="3"/>
        <v>2394682</v>
      </c>
      <c r="U17" s="6">
        <v>49640</v>
      </c>
      <c r="V17" s="15">
        <f t="shared" si="4"/>
        <v>48240.975020145044</v>
      </c>
      <c r="W17" s="11" t="s">
        <v>82</v>
      </c>
      <c r="X17" s="17">
        <f t="shared" si="5"/>
        <v>-1185.9100315308751</v>
      </c>
      <c r="Y17" s="17">
        <f t="shared" si="6"/>
        <v>-1.8178238255579737</v>
      </c>
      <c r="Z17" s="14">
        <v>3397793</v>
      </c>
      <c r="AA17" s="14">
        <v>1112732</v>
      </c>
      <c r="AB17" s="14">
        <v>-240525</v>
      </c>
      <c r="AC17" s="14">
        <v>0</v>
      </c>
      <c r="AD17" s="14">
        <v>0</v>
      </c>
      <c r="AE17" s="16">
        <f t="shared" si="7"/>
        <v>2525586</v>
      </c>
      <c r="AF17" s="6">
        <v>49531</v>
      </c>
      <c r="AG17" s="16">
        <f t="shared" si="8"/>
        <v>50990.006258706671</v>
      </c>
      <c r="AH17" s="15">
        <f t="shared" si="9"/>
        <v>2749.0312385616271</v>
      </c>
      <c r="AI17" s="17">
        <f t="shared" si="10"/>
        <v>5.4664460667428916</v>
      </c>
    </row>
    <row r="18" spans="4:35" ht="15.75" x14ac:dyDescent="0.25">
      <c r="D18" s="11" t="s">
        <v>41</v>
      </c>
      <c r="E18" s="14">
        <v>2530798</v>
      </c>
      <c r="F18" s="14">
        <v>897380</v>
      </c>
      <c r="G18" s="14">
        <v>-202517</v>
      </c>
      <c r="H18" s="14">
        <v>74</v>
      </c>
      <c r="I18" s="14">
        <v>0</v>
      </c>
      <c r="J18" s="6">
        <f t="shared" si="0"/>
        <v>1835861</v>
      </c>
      <c r="K18" s="15">
        <f t="shared" si="1"/>
        <v>1989485.8484800002</v>
      </c>
      <c r="L18" s="18">
        <v>37585</v>
      </c>
      <c r="M18" s="15">
        <f t="shared" si="2"/>
        <v>52932.974550485567</v>
      </c>
      <c r="N18" s="18"/>
      <c r="O18" s="14">
        <v>2705572</v>
      </c>
      <c r="P18" s="14">
        <v>980901</v>
      </c>
      <c r="Q18" s="14">
        <v>-206536</v>
      </c>
      <c r="R18" s="14">
        <v>77</v>
      </c>
      <c r="S18" s="14">
        <v>0</v>
      </c>
      <c r="T18" s="16">
        <f t="shared" si="3"/>
        <v>1931130</v>
      </c>
      <c r="U18" s="6">
        <v>37501</v>
      </c>
      <c r="V18" s="15">
        <f t="shared" si="4"/>
        <v>51495.42678861897</v>
      </c>
      <c r="W18" s="11" t="s">
        <v>41</v>
      </c>
      <c r="X18" s="17">
        <f t="shared" si="5"/>
        <v>-1437.5477618665973</v>
      </c>
      <c r="Y18" s="17">
        <f t="shared" si="6"/>
        <v>-2.9332125445669766</v>
      </c>
      <c r="Z18" s="14">
        <v>2886817</v>
      </c>
      <c r="AA18" s="14">
        <v>1075803</v>
      </c>
      <c r="AB18" s="14">
        <v>-249056</v>
      </c>
      <c r="AC18" s="14">
        <v>80</v>
      </c>
      <c r="AD18" s="14">
        <v>0</v>
      </c>
      <c r="AE18" s="16">
        <f t="shared" si="7"/>
        <v>2059990</v>
      </c>
      <c r="AF18" s="6">
        <v>37918</v>
      </c>
      <c r="AG18" s="16">
        <f t="shared" si="8"/>
        <v>54327.496175958651</v>
      </c>
      <c r="AH18" s="15">
        <f t="shared" si="9"/>
        <v>2832.0693873396813</v>
      </c>
      <c r="AI18" s="17">
        <f t="shared" si="10"/>
        <v>6.6727770787052165</v>
      </c>
    </row>
    <row r="19" spans="4:35" ht="15.75" x14ac:dyDescent="0.25">
      <c r="D19" s="11" t="s">
        <v>26</v>
      </c>
      <c r="E19" s="14">
        <v>2850577</v>
      </c>
      <c r="F19" s="14">
        <v>777182</v>
      </c>
      <c r="G19" s="14">
        <v>-142343</v>
      </c>
      <c r="H19" s="14">
        <v>0</v>
      </c>
      <c r="I19" s="14">
        <v>0</v>
      </c>
      <c r="J19" s="6">
        <f t="shared" si="0"/>
        <v>2215738</v>
      </c>
      <c r="K19" s="15">
        <f t="shared" si="1"/>
        <v>2401150.9558400004</v>
      </c>
      <c r="L19" s="18">
        <v>41506</v>
      </c>
      <c r="M19" s="15">
        <f t="shared" si="2"/>
        <v>57850.695220931928</v>
      </c>
      <c r="N19" s="18"/>
      <c r="O19" s="14">
        <v>3045694</v>
      </c>
      <c r="P19" s="14">
        <v>823357</v>
      </c>
      <c r="Q19" s="14">
        <v>-141989</v>
      </c>
      <c r="R19" s="14">
        <v>0</v>
      </c>
      <c r="S19" s="14">
        <v>0</v>
      </c>
      <c r="T19" s="16">
        <f t="shared" si="3"/>
        <v>2364326</v>
      </c>
      <c r="U19" s="6">
        <v>41882</v>
      </c>
      <c r="V19" s="15">
        <f t="shared" si="4"/>
        <v>56452.079652356624</v>
      </c>
      <c r="W19" s="11" t="s">
        <v>26</v>
      </c>
      <c r="X19" s="17">
        <f t="shared" si="5"/>
        <v>-1398.6155685753038</v>
      </c>
      <c r="Y19" s="17">
        <f t="shared" si="6"/>
        <v>-1.5336376811477037</v>
      </c>
      <c r="Z19" s="14">
        <v>3194162</v>
      </c>
      <c r="AA19" s="14">
        <v>848929</v>
      </c>
      <c r="AB19" s="14">
        <v>-157104</v>
      </c>
      <c r="AC19" s="14">
        <v>0</v>
      </c>
      <c r="AD19" s="14">
        <v>0</v>
      </c>
      <c r="AE19" s="16">
        <f t="shared" si="7"/>
        <v>2502337</v>
      </c>
      <c r="AF19" s="6">
        <v>42191</v>
      </c>
      <c r="AG19" s="16">
        <f t="shared" si="8"/>
        <v>59309.734303524448</v>
      </c>
      <c r="AH19" s="15">
        <f t="shared" si="9"/>
        <v>2857.6546511678243</v>
      </c>
      <c r="AI19" s="17">
        <f t="shared" si="10"/>
        <v>5.8372238007787347</v>
      </c>
    </row>
    <row r="20" spans="4:35" ht="15.75" x14ac:dyDescent="0.25">
      <c r="D20" s="11" t="s">
        <v>72</v>
      </c>
      <c r="E20" s="14">
        <v>3772606</v>
      </c>
      <c r="F20" s="14">
        <v>1387748</v>
      </c>
      <c r="G20" s="14">
        <v>-240481</v>
      </c>
      <c r="H20" s="14">
        <v>0</v>
      </c>
      <c r="I20" s="14">
        <v>0</v>
      </c>
      <c r="J20" s="6">
        <f t="shared" si="0"/>
        <v>2625339</v>
      </c>
      <c r="K20" s="15">
        <f t="shared" si="1"/>
        <v>2845027.3675199999</v>
      </c>
      <c r="L20" s="18">
        <v>51944</v>
      </c>
      <c r="M20" s="15">
        <f t="shared" si="2"/>
        <v>54771.048966579394</v>
      </c>
      <c r="N20" s="18"/>
      <c r="O20" s="14">
        <v>4083623</v>
      </c>
      <c r="P20" s="14">
        <v>1611605</v>
      </c>
      <c r="Q20" s="14">
        <v>-349106</v>
      </c>
      <c r="R20" s="14">
        <v>0</v>
      </c>
      <c r="S20" s="14">
        <v>0</v>
      </c>
      <c r="T20" s="16">
        <f t="shared" si="3"/>
        <v>2821124</v>
      </c>
      <c r="U20" s="6">
        <v>52325</v>
      </c>
      <c r="V20" s="15">
        <f t="shared" si="4"/>
        <v>53915.413282369802</v>
      </c>
      <c r="W20" s="11" t="s">
        <v>72</v>
      </c>
      <c r="X20" s="17">
        <f t="shared" si="5"/>
        <v>-855.635684209592</v>
      </c>
      <c r="Y20" s="17">
        <f t="shared" si="6"/>
        <v>-0.84018058289668796</v>
      </c>
      <c r="Z20" s="14">
        <v>4378816</v>
      </c>
      <c r="AA20" s="14">
        <v>1694714</v>
      </c>
      <c r="AB20" s="14">
        <v>-354619</v>
      </c>
      <c r="AC20" s="14">
        <v>0</v>
      </c>
      <c r="AD20" s="14">
        <v>0</v>
      </c>
      <c r="AE20" s="16">
        <f t="shared" si="7"/>
        <v>3038721</v>
      </c>
      <c r="AF20" s="6">
        <v>52674</v>
      </c>
      <c r="AG20" s="16">
        <f t="shared" si="8"/>
        <v>57689.201503588112</v>
      </c>
      <c r="AH20" s="15">
        <f t="shared" si="9"/>
        <v>3773.7882212183104</v>
      </c>
      <c r="AI20" s="17">
        <f t="shared" si="10"/>
        <v>7.7131313618259867</v>
      </c>
    </row>
    <row r="21" spans="4:35" ht="15.75" x14ac:dyDescent="0.25">
      <c r="D21" s="11" t="s">
        <v>8</v>
      </c>
      <c r="E21" s="14">
        <v>6101923</v>
      </c>
      <c r="F21" s="14">
        <v>1903953</v>
      </c>
      <c r="G21" s="14">
        <v>-283328</v>
      </c>
      <c r="H21" s="14">
        <v>0</v>
      </c>
      <c r="I21" s="14">
        <v>14001</v>
      </c>
      <c r="J21" s="6">
        <f t="shared" si="0"/>
        <v>4467297</v>
      </c>
      <c r="K21" s="15">
        <f t="shared" si="1"/>
        <v>4841120.4129600003</v>
      </c>
      <c r="L21" s="18">
        <v>103872</v>
      </c>
      <c r="M21" s="15">
        <f t="shared" si="2"/>
        <v>46606.596705175602</v>
      </c>
      <c r="N21" s="18"/>
      <c r="O21" s="14">
        <v>6545958</v>
      </c>
      <c r="P21" s="14">
        <v>2102394</v>
      </c>
      <c r="Q21" s="14">
        <v>-304375</v>
      </c>
      <c r="R21" s="14">
        <v>0</v>
      </c>
      <c r="S21" s="14">
        <v>9444</v>
      </c>
      <c r="T21" s="16">
        <f t="shared" si="3"/>
        <v>4738495</v>
      </c>
      <c r="U21" s="6">
        <v>104605</v>
      </c>
      <c r="V21" s="15">
        <f t="shared" si="4"/>
        <v>45298.934085368768</v>
      </c>
      <c r="W21" s="11" t="s">
        <v>8</v>
      </c>
      <c r="X21" s="17">
        <f t="shared" si="5"/>
        <v>-1307.6626198068334</v>
      </c>
      <c r="Y21" s="17">
        <f t="shared" si="6"/>
        <v>-2.1198690428204436</v>
      </c>
      <c r="Z21" s="14">
        <v>6873455</v>
      </c>
      <c r="AA21" s="14">
        <v>2154729</v>
      </c>
      <c r="AB21" s="14">
        <v>-314261</v>
      </c>
      <c r="AC21" s="14">
        <v>0</v>
      </c>
      <c r="AD21" s="14">
        <v>9923</v>
      </c>
      <c r="AE21" s="16">
        <f t="shared" si="7"/>
        <v>5023064</v>
      </c>
      <c r="AF21" s="6">
        <v>104679</v>
      </c>
      <c r="AG21" s="16">
        <f t="shared" si="8"/>
        <v>47985.402993914729</v>
      </c>
      <c r="AH21" s="15">
        <f t="shared" si="9"/>
        <v>2686.4689085459613</v>
      </c>
      <c r="AI21" s="17">
        <f t="shared" si="10"/>
        <v>6.0054722016167572</v>
      </c>
    </row>
    <row r="22" spans="4:35" ht="15.75" x14ac:dyDescent="0.25">
      <c r="D22" s="11" t="s">
        <v>97</v>
      </c>
      <c r="E22" s="14">
        <v>4338728</v>
      </c>
      <c r="F22" s="14">
        <v>1671621</v>
      </c>
      <c r="G22" s="14">
        <v>-318768</v>
      </c>
      <c r="H22" s="14">
        <v>1482</v>
      </c>
      <c r="I22" s="14">
        <v>0</v>
      </c>
      <c r="J22" s="6">
        <f t="shared" si="0"/>
        <v>2984393</v>
      </c>
      <c r="K22" s="15">
        <f t="shared" si="1"/>
        <v>3234127.00624</v>
      </c>
      <c r="L22" s="18">
        <v>58962</v>
      </c>
      <c r="M22" s="15">
        <f t="shared" si="2"/>
        <v>54851.039758488521</v>
      </c>
      <c r="N22" s="18"/>
      <c r="O22" s="14">
        <v>4613698</v>
      </c>
      <c r="P22" s="14">
        <v>1862913</v>
      </c>
      <c r="Q22" s="14">
        <v>-346490</v>
      </c>
      <c r="R22" s="14">
        <v>1545</v>
      </c>
      <c r="S22" s="14">
        <v>0</v>
      </c>
      <c r="T22" s="16">
        <f t="shared" si="3"/>
        <v>3095730</v>
      </c>
      <c r="U22" s="6">
        <v>58593</v>
      </c>
      <c r="V22" s="15">
        <f t="shared" si="4"/>
        <v>52834.468281194</v>
      </c>
      <c r="W22" s="11" t="s">
        <v>97</v>
      </c>
      <c r="X22" s="17">
        <f t="shared" si="5"/>
        <v>-2016.5714772945212</v>
      </c>
      <c r="Y22" s="17">
        <f t="shared" si="6"/>
        <v>-4.2792693661372505</v>
      </c>
      <c r="Z22" s="14">
        <v>4797003</v>
      </c>
      <c r="AA22" s="14">
        <v>1954806</v>
      </c>
      <c r="AB22" s="14">
        <v>-349846</v>
      </c>
      <c r="AC22" s="14">
        <v>1682</v>
      </c>
      <c r="AD22" s="14">
        <v>0</v>
      </c>
      <c r="AE22" s="16">
        <f t="shared" si="7"/>
        <v>3190361</v>
      </c>
      <c r="AF22" s="6">
        <v>58050</v>
      </c>
      <c r="AG22" s="16">
        <f t="shared" si="8"/>
        <v>54958.845822566749</v>
      </c>
      <c r="AH22" s="15">
        <f t="shared" si="9"/>
        <v>2124.377541372749</v>
      </c>
      <c r="AI22" s="17">
        <f t="shared" si="10"/>
        <v>3.0568234309839681</v>
      </c>
    </row>
    <row r="23" spans="4:35" ht="15.75" x14ac:dyDescent="0.25">
      <c r="D23" s="11" t="s">
        <v>32</v>
      </c>
      <c r="E23" s="14">
        <v>3170924</v>
      </c>
      <c r="F23" s="14">
        <v>996712</v>
      </c>
      <c r="G23" s="14">
        <v>-190578</v>
      </c>
      <c r="H23" s="14">
        <v>0</v>
      </c>
      <c r="I23" s="14">
        <v>0</v>
      </c>
      <c r="J23" s="6">
        <f t="shared" si="0"/>
        <v>2364790</v>
      </c>
      <c r="K23" s="15">
        <f t="shared" si="1"/>
        <v>2562675.6272000005</v>
      </c>
      <c r="L23" s="18">
        <v>46221</v>
      </c>
      <c r="M23" s="15">
        <f t="shared" si="2"/>
        <v>55443.967616451409</v>
      </c>
      <c r="N23" s="18"/>
      <c r="O23" s="14">
        <v>3360354</v>
      </c>
      <c r="P23" s="14">
        <v>1055778</v>
      </c>
      <c r="Q23" s="14">
        <v>-208537</v>
      </c>
      <c r="R23" s="14">
        <v>0</v>
      </c>
      <c r="S23" s="14">
        <v>0</v>
      </c>
      <c r="T23" s="16">
        <f t="shared" si="3"/>
        <v>2513113</v>
      </c>
      <c r="U23" s="6">
        <v>46295</v>
      </c>
      <c r="V23" s="15">
        <f t="shared" si="4"/>
        <v>54284.760773301656</v>
      </c>
      <c r="W23" s="11" t="s">
        <v>32</v>
      </c>
      <c r="X23" s="17">
        <f t="shared" si="5"/>
        <v>-1159.2068431497537</v>
      </c>
      <c r="Y23" s="17">
        <f t="shared" si="6"/>
        <v>-1.9340187526641017</v>
      </c>
      <c r="Z23" s="14">
        <v>3567201</v>
      </c>
      <c r="AA23" s="14">
        <v>1128930</v>
      </c>
      <c r="AB23" s="14">
        <v>-222267</v>
      </c>
      <c r="AC23" s="14">
        <v>0</v>
      </c>
      <c r="AD23" s="14">
        <v>0</v>
      </c>
      <c r="AE23" s="16">
        <f t="shared" si="7"/>
        <v>2660538</v>
      </c>
      <c r="AF23" s="6">
        <v>46572</v>
      </c>
      <c r="AG23" s="16">
        <f t="shared" si="8"/>
        <v>57127.415614532336</v>
      </c>
      <c r="AH23" s="15">
        <f t="shared" si="9"/>
        <v>2842.6548412306802</v>
      </c>
      <c r="AI23" s="17">
        <f t="shared" si="10"/>
        <v>5.8662304480538774</v>
      </c>
    </row>
    <row r="24" spans="4:35" ht="15.75" x14ac:dyDescent="0.25">
      <c r="D24" s="11" t="s">
        <v>24</v>
      </c>
      <c r="E24" s="14">
        <v>2784279</v>
      </c>
      <c r="F24" s="14">
        <v>699068</v>
      </c>
      <c r="G24" s="14">
        <v>-121762</v>
      </c>
      <c r="H24" s="14">
        <v>0</v>
      </c>
      <c r="I24" s="14">
        <v>0</v>
      </c>
      <c r="J24" s="6">
        <f t="shared" si="0"/>
        <v>2206973</v>
      </c>
      <c r="K24" s="15">
        <f t="shared" si="1"/>
        <v>2391652.5006400002</v>
      </c>
      <c r="L24" s="18">
        <v>41748</v>
      </c>
      <c r="M24" s="15">
        <f t="shared" si="2"/>
        <v>57287.834163073683</v>
      </c>
      <c r="N24" s="18"/>
      <c r="O24" s="14">
        <v>2950525</v>
      </c>
      <c r="P24" s="14">
        <v>745114</v>
      </c>
      <c r="Q24" s="14">
        <v>-140678</v>
      </c>
      <c r="R24" s="14">
        <v>0</v>
      </c>
      <c r="S24" s="14">
        <v>0</v>
      </c>
      <c r="T24" s="16">
        <f t="shared" si="3"/>
        <v>2346089</v>
      </c>
      <c r="U24" s="6">
        <v>42301</v>
      </c>
      <c r="V24" s="15">
        <f t="shared" si="4"/>
        <v>55461.785773385971</v>
      </c>
      <c r="W24" s="11" t="s">
        <v>24</v>
      </c>
      <c r="X24" s="17">
        <f t="shared" si="5"/>
        <v>-1826.0483896877122</v>
      </c>
      <c r="Y24" s="17">
        <f t="shared" si="6"/>
        <v>-1.9051053875012158</v>
      </c>
      <c r="Z24" s="14">
        <v>3113599</v>
      </c>
      <c r="AA24" s="14">
        <v>782423</v>
      </c>
      <c r="AB24" s="14">
        <v>-156228</v>
      </c>
      <c r="AC24" s="14">
        <v>0</v>
      </c>
      <c r="AD24" s="14">
        <v>0</v>
      </c>
      <c r="AE24" s="16">
        <f t="shared" si="7"/>
        <v>2487404</v>
      </c>
      <c r="AF24" s="6">
        <v>42744</v>
      </c>
      <c r="AG24" s="16">
        <f t="shared" si="8"/>
        <v>58193.056335392102</v>
      </c>
      <c r="AH24" s="15">
        <f t="shared" si="9"/>
        <v>2731.2705620061315</v>
      </c>
      <c r="AI24" s="17">
        <f t="shared" si="10"/>
        <v>6.0234287787036322</v>
      </c>
    </row>
    <row r="25" spans="4:35" ht="15.75" x14ac:dyDescent="0.25">
      <c r="D25" s="11" t="s">
        <v>55</v>
      </c>
      <c r="E25" s="14">
        <v>3679391</v>
      </c>
      <c r="F25" s="14">
        <v>1355361</v>
      </c>
      <c r="G25" s="14">
        <v>-245082</v>
      </c>
      <c r="H25" s="14">
        <v>0</v>
      </c>
      <c r="I25" s="14">
        <v>9242</v>
      </c>
      <c r="J25" s="6">
        <f t="shared" si="0"/>
        <v>2559870</v>
      </c>
      <c r="K25" s="15">
        <f t="shared" si="1"/>
        <v>2774079.9216</v>
      </c>
      <c r="L25" s="18">
        <v>52238</v>
      </c>
      <c r="M25" s="15">
        <f t="shared" si="2"/>
        <v>53104.634970710977</v>
      </c>
      <c r="N25" s="18"/>
      <c r="O25" s="14">
        <v>3919155</v>
      </c>
      <c r="P25" s="14">
        <v>1464160</v>
      </c>
      <c r="Q25" s="14">
        <v>-253999</v>
      </c>
      <c r="R25" s="14">
        <v>0</v>
      </c>
      <c r="S25" s="14">
        <v>727</v>
      </c>
      <c r="T25" s="16">
        <f t="shared" si="3"/>
        <v>2708267</v>
      </c>
      <c r="U25" s="6">
        <v>52355</v>
      </c>
      <c r="V25" s="15">
        <f t="shared" si="4"/>
        <v>51728.908413714067</v>
      </c>
      <c r="W25" s="11" t="s">
        <v>55</v>
      </c>
      <c r="X25" s="17">
        <f t="shared" si="5"/>
        <v>-1375.7265569969095</v>
      </c>
      <c r="Y25" s="17">
        <f t="shared" si="6"/>
        <v>-2.3724234146088041</v>
      </c>
      <c r="Z25" s="14">
        <v>4136928</v>
      </c>
      <c r="AA25" s="14">
        <v>1537012</v>
      </c>
      <c r="AB25" s="14">
        <v>-268222</v>
      </c>
      <c r="AC25" s="14">
        <v>0</v>
      </c>
      <c r="AD25" s="14">
        <v>763</v>
      </c>
      <c r="AE25" s="16">
        <f t="shared" si="7"/>
        <v>2867375</v>
      </c>
      <c r="AF25" s="6">
        <v>52414</v>
      </c>
      <c r="AG25" s="16">
        <f t="shared" si="8"/>
        <v>54706.280764681193</v>
      </c>
      <c r="AH25" s="15">
        <f t="shared" si="9"/>
        <v>2977.3723509671254</v>
      </c>
      <c r="AI25" s="17">
        <f t="shared" si="10"/>
        <v>5.8749008129552971</v>
      </c>
    </row>
    <row r="26" spans="4:35" ht="15.75" x14ac:dyDescent="0.25">
      <c r="D26" s="11" t="s">
        <v>12</v>
      </c>
      <c r="E26" s="14">
        <v>4719091</v>
      </c>
      <c r="F26" s="14">
        <v>1043740</v>
      </c>
      <c r="G26" s="14">
        <v>-188211</v>
      </c>
      <c r="H26" s="14">
        <v>983</v>
      </c>
      <c r="I26" s="14">
        <v>-1</v>
      </c>
      <c r="J26" s="6">
        <f t="shared" si="0"/>
        <v>3862580</v>
      </c>
      <c r="K26" s="15">
        <f t="shared" si="1"/>
        <v>4185800.6944000004</v>
      </c>
      <c r="L26" s="18">
        <v>74270</v>
      </c>
      <c r="M26" s="15">
        <f t="shared" si="2"/>
        <v>56359.239186751045</v>
      </c>
      <c r="N26" s="18"/>
      <c r="O26" s="14">
        <v>4998998</v>
      </c>
      <c r="P26" s="14">
        <v>1090764</v>
      </c>
      <c r="Q26" s="14">
        <v>-197221</v>
      </c>
      <c r="R26" s="14">
        <v>1021</v>
      </c>
      <c r="S26" s="14">
        <v>-1</v>
      </c>
      <c r="T26" s="16">
        <f t="shared" si="3"/>
        <v>4104435</v>
      </c>
      <c r="U26" s="6">
        <v>74653</v>
      </c>
      <c r="V26" s="15">
        <f t="shared" si="4"/>
        <v>54980.174942735051</v>
      </c>
      <c r="W26" s="11" t="s">
        <v>12</v>
      </c>
      <c r="X26" s="17">
        <f t="shared" si="5"/>
        <v>-1379.0642440159936</v>
      </c>
      <c r="Y26" s="17">
        <f t="shared" si="6"/>
        <v>-1.9438501816117504</v>
      </c>
      <c r="Z26" s="14">
        <v>5274522</v>
      </c>
      <c r="AA26" s="14">
        <v>1142732</v>
      </c>
      <c r="AB26" s="14">
        <v>-209310</v>
      </c>
      <c r="AC26" s="14">
        <v>1073</v>
      </c>
      <c r="AD26" s="14">
        <v>-1</v>
      </c>
      <c r="AE26" s="16">
        <f t="shared" si="7"/>
        <v>4340028</v>
      </c>
      <c r="AF26" s="6">
        <v>74759</v>
      </c>
      <c r="AG26" s="16">
        <f t="shared" si="8"/>
        <v>58053.585521475674</v>
      </c>
      <c r="AH26" s="15">
        <f t="shared" si="9"/>
        <v>3073.4105787406224</v>
      </c>
      <c r="AI26" s="17">
        <f t="shared" si="10"/>
        <v>5.7399617730576891</v>
      </c>
    </row>
    <row r="27" spans="4:35" ht="15.75" x14ac:dyDescent="0.25">
      <c r="D27" s="11" t="s">
        <v>13</v>
      </c>
      <c r="E27" s="14">
        <v>4906137</v>
      </c>
      <c r="F27" s="14">
        <v>1315116</v>
      </c>
      <c r="G27" s="14">
        <v>-221275</v>
      </c>
      <c r="H27" s="14">
        <v>1325</v>
      </c>
      <c r="I27" s="14">
        <v>222</v>
      </c>
      <c r="J27" s="6">
        <f t="shared" si="0"/>
        <v>3810749</v>
      </c>
      <c r="K27" s="15">
        <f t="shared" si="1"/>
        <v>4129632.4763200004</v>
      </c>
      <c r="L27" s="18">
        <v>69640</v>
      </c>
      <c r="M27" s="15">
        <f t="shared" si="2"/>
        <v>59299.719648477891</v>
      </c>
      <c r="N27" s="18"/>
      <c r="O27" s="14">
        <v>5302455</v>
      </c>
      <c r="P27" s="14">
        <v>1437198</v>
      </c>
      <c r="Q27" s="14">
        <v>-228460</v>
      </c>
      <c r="R27" s="14">
        <v>1561</v>
      </c>
      <c r="S27" s="14">
        <v>234</v>
      </c>
      <c r="T27" s="16">
        <f t="shared" si="3"/>
        <v>4091922</v>
      </c>
      <c r="U27" s="6">
        <v>70146</v>
      </c>
      <c r="V27" s="15">
        <f t="shared" si="4"/>
        <v>58334.359763920962</v>
      </c>
      <c r="W27" s="11" t="s">
        <v>13</v>
      </c>
      <c r="X27" s="17">
        <f t="shared" si="5"/>
        <v>-965.35988455692859</v>
      </c>
      <c r="Y27" s="17">
        <f t="shared" si="6"/>
        <v>-0.91316785540210832</v>
      </c>
      <c r="Z27" s="14">
        <v>5556379</v>
      </c>
      <c r="AA27" s="14">
        <v>1520371</v>
      </c>
      <c r="AB27" s="14">
        <v>-270919</v>
      </c>
      <c r="AC27" s="14">
        <v>1651</v>
      </c>
      <c r="AD27" s="14">
        <v>246</v>
      </c>
      <c r="AE27" s="16">
        <f t="shared" si="7"/>
        <v>4305030</v>
      </c>
      <c r="AF27" s="6">
        <v>70810</v>
      </c>
      <c r="AG27" s="16">
        <f t="shared" si="8"/>
        <v>60796.92133879396</v>
      </c>
      <c r="AH27" s="15">
        <f t="shared" si="9"/>
        <v>2462.5615748729979</v>
      </c>
      <c r="AI27" s="17">
        <f t="shared" si="10"/>
        <v>5.2080171616174509</v>
      </c>
    </row>
    <row r="28" spans="4:35" ht="15.75" x14ac:dyDescent="0.25">
      <c r="D28" s="11" t="s">
        <v>14</v>
      </c>
      <c r="E28" s="14">
        <v>1748249</v>
      </c>
      <c r="F28" s="14">
        <v>567895</v>
      </c>
      <c r="G28" s="14">
        <v>-96746</v>
      </c>
      <c r="H28" s="14">
        <v>0</v>
      </c>
      <c r="I28" s="14">
        <v>0</v>
      </c>
      <c r="J28" s="6">
        <f t="shared" si="0"/>
        <v>1277100</v>
      </c>
      <c r="K28" s="15">
        <f t="shared" si="1"/>
        <v>1383967.7279999999</v>
      </c>
      <c r="L28" s="18">
        <v>23769</v>
      </c>
      <c r="M28" s="15">
        <f t="shared" si="2"/>
        <v>58225.744793638769</v>
      </c>
      <c r="N28" s="18"/>
      <c r="O28" s="14">
        <v>1863758</v>
      </c>
      <c r="P28" s="14">
        <v>602618</v>
      </c>
      <c r="Q28" s="14">
        <v>-101733</v>
      </c>
      <c r="R28" s="14">
        <v>0</v>
      </c>
      <c r="S28" s="14">
        <v>0</v>
      </c>
      <c r="T28" s="16">
        <f t="shared" si="3"/>
        <v>1362873</v>
      </c>
      <c r="U28" s="6">
        <v>23857</v>
      </c>
      <c r="V28" s="15">
        <f t="shared" si="4"/>
        <v>57126.755250031434</v>
      </c>
      <c r="W28" s="11" t="s">
        <v>14</v>
      </c>
      <c r="X28" s="17">
        <f t="shared" si="5"/>
        <v>-1098.9895436073348</v>
      </c>
      <c r="Y28" s="17">
        <f t="shared" si="6"/>
        <v>-1.5242210907969844</v>
      </c>
      <c r="Z28" s="14">
        <v>1948665</v>
      </c>
      <c r="AA28" s="14">
        <v>612602</v>
      </c>
      <c r="AB28" s="14">
        <v>-91761</v>
      </c>
      <c r="AC28" s="14">
        <v>0</v>
      </c>
      <c r="AD28" s="14">
        <v>0</v>
      </c>
      <c r="AE28" s="16">
        <f t="shared" si="7"/>
        <v>1427824</v>
      </c>
      <c r="AF28" s="6">
        <v>23741</v>
      </c>
      <c r="AG28" s="16">
        <f t="shared" si="8"/>
        <v>60141.69580051388</v>
      </c>
      <c r="AH28" s="15">
        <f t="shared" si="9"/>
        <v>3014.9405504824463</v>
      </c>
      <c r="AI28" s="17">
        <f t="shared" si="10"/>
        <v>4.765741195254436</v>
      </c>
    </row>
    <row r="29" spans="4:35" ht="15.75" x14ac:dyDescent="0.25">
      <c r="D29" s="11" t="s">
        <v>33</v>
      </c>
      <c r="E29" s="14">
        <v>3248548</v>
      </c>
      <c r="F29" s="14">
        <v>1014395</v>
      </c>
      <c r="G29" s="14">
        <v>-184055</v>
      </c>
      <c r="H29" s="14">
        <v>0</v>
      </c>
      <c r="I29" s="14">
        <v>101</v>
      </c>
      <c r="J29" s="6">
        <f t="shared" si="0"/>
        <v>2418107</v>
      </c>
      <c r="K29" s="15">
        <f t="shared" si="1"/>
        <v>2620454.1937600002</v>
      </c>
      <c r="L29" s="18">
        <v>51266</v>
      </c>
      <c r="M29" s="15">
        <f t="shared" si="2"/>
        <v>51114.855728162918</v>
      </c>
      <c r="N29" s="18"/>
      <c r="O29" s="14">
        <v>3496936</v>
      </c>
      <c r="P29" s="14">
        <v>1097484</v>
      </c>
      <c r="Q29" s="14">
        <v>-196796</v>
      </c>
      <c r="R29" s="14">
        <v>0</v>
      </c>
      <c r="S29" s="14">
        <v>105</v>
      </c>
      <c r="T29" s="16">
        <f t="shared" si="3"/>
        <v>2596143</v>
      </c>
      <c r="U29" s="6">
        <v>51756</v>
      </c>
      <c r="V29" s="15">
        <f t="shared" si="4"/>
        <v>50161.198701599817</v>
      </c>
      <c r="W29" s="11" t="s">
        <v>33</v>
      </c>
      <c r="X29" s="17">
        <f t="shared" si="5"/>
        <v>-953.65702656310168</v>
      </c>
      <c r="Y29" s="17">
        <f t="shared" si="6"/>
        <v>-0.9277473278445969</v>
      </c>
      <c r="Z29" s="14">
        <v>3752228</v>
      </c>
      <c r="AA29" s="14">
        <v>1170552</v>
      </c>
      <c r="AB29" s="14">
        <v>-205633</v>
      </c>
      <c r="AC29" s="14">
        <v>0</v>
      </c>
      <c r="AD29" s="14">
        <v>111</v>
      </c>
      <c r="AE29" s="16">
        <f t="shared" si="7"/>
        <v>2787198</v>
      </c>
      <c r="AF29" s="6">
        <v>52357</v>
      </c>
      <c r="AG29" s="16">
        <f t="shared" si="8"/>
        <v>53234.486315105903</v>
      </c>
      <c r="AH29" s="15">
        <f t="shared" si="9"/>
        <v>3073.2876135060869</v>
      </c>
      <c r="AI29" s="17">
        <f t="shared" si="10"/>
        <v>7.3591863006005509</v>
      </c>
    </row>
    <row r="30" spans="4:35" ht="15.75" x14ac:dyDescent="0.25">
      <c r="D30" s="11" t="s">
        <v>38</v>
      </c>
      <c r="E30" s="14">
        <v>2799088</v>
      </c>
      <c r="F30" s="14">
        <v>862885</v>
      </c>
      <c r="G30" s="14">
        <v>-166333</v>
      </c>
      <c r="H30" s="14">
        <v>0</v>
      </c>
      <c r="I30" s="14">
        <v>0</v>
      </c>
      <c r="J30" s="6">
        <f t="shared" si="0"/>
        <v>2102536</v>
      </c>
      <c r="K30" s="15">
        <f t="shared" si="1"/>
        <v>2278476.2124800002</v>
      </c>
      <c r="L30" s="18">
        <v>41421</v>
      </c>
      <c r="M30" s="15">
        <f t="shared" si="2"/>
        <v>55007.754821950221</v>
      </c>
      <c r="N30" s="18"/>
      <c r="O30" s="14">
        <v>3003707</v>
      </c>
      <c r="P30" s="14">
        <v>954225</v>
      </c>
      <c r="Q30" s="14">
        <v>-195118</v>
      </c>
      <c r="R30" s="14">
        <v>0</v>
      </c>
      <c r="S30" s="14">
        <v>0</v>
      </c>
      <c r="T30" s="16">
        <f t="shared" si="3"/>
        <v>2244600</v>
      </c>
      <c r="U30" s="6">
        <v>41625</v>
      </c>
      <c r="V30" s="15">
        <f t="shared" si="4"/>
        <v>53924.324324324327</v>
      </c>
      <c r="W30" s="11" t="s">
        <v>38</v>
      </c>
      <c r="X30" s="17">
        <f t="shared" si="5"/>
        <v>-1083.4304976258936</v>
      </c>
      <c r="Y30" s="17">
        <f t="shared" si="6"/>
        <v>-1.4867924578035319</v>
      </c>
      <c r="Z30" s="14">
        <v>3192521</v>
      </c>
      <c r="AA30" s="14">
        <v>991497</v>
      </c>
      <c r="AB30" s="14">
        <v>-203505</v>
      </c>
      <c r="AC30" s="14">
        <v>0</v>
      </c>
      <c r="AD30" s="14">
        <v>0</v>
      </c>
      <c r="AE30" s="16">
        <f t="shared" si="7"/>
        <v>2404529</v>
      </c>
      <c r="AF30" s="6">
        <v>42033</v>
      </c>
      <c r="AG30" s="16">
        <f t="shared" si="8"/>
        <v>57205.743106606707</v>
      </c>
      <c r="AH30" s="15">
        <f t="shared" si="9"/>
        <v>3281.4187822823806</v>
      </c>
      <c r="AI30" s="17">
        <f t="shared" si="10"/>
        <v>7.1250556892096695</v>
      </c>
    </row>
    <row r="31" spans="4:35" ht="15.75" x14ac:dyDescent="0.25">
      <c r="D31" s="11" t="s">
        <v>50</v>
      </c>
      <c r="E31" s="14">
        <v>4652172</v>
      </c>
      <c r="F31" s="14">
        <v>1781055</v>
      </c>
      <c r="G31" s="14">
        <v>-307399</v>
      </c>
      <c r="H31" s="14">
        <v>0</v>
      </c>
      <c r="I31" s="14">
        <v>0</v>
      </c>
      <c r="J31" s="6">
        <f t="shared" si="0"/>
        <v>3178516</v>
      </c>
      <c r="K31" s="15">
        <f t="shared" si="1"/>
        <v>3444494.2188800005</v>
      </c>
      <c r="L31" s="18">
        <v>60472</v>
      </c>
      <c r="M31" s="15">
        <f t="shared" si="2"/>
        <v>56960.150464347142</v>
      </c>
      <c r="N31" s="18"/>
      <c r="O31" s="14">
        <v>4924512</v>
      </c>
      <c r="P31" s="14">
        <v>1865511</v>
      </c>
      <c r="Q31" s="14">
        <v>-324033</v>
      </c>
      <c r="R31" s="14">
        <v>0</v>
      </c>
      <c r="S31" s="14">
        <v>0</v>
      </c>
      <c r="T31" s="16">
        <f t="shared" si="3"/>
        <v>3383034</v>
      </c>
      <c r="U31" s="6">
        <v>60128</v>
      </c>
      <c r="V31" s="15">
        <f t="shared" si="4"/>
        <v>56263.870409792449</v>
      </c>
      <c r="W31" s="11" t="s">
        <v>50</v>
      </c>
      <c r="X31" s="17">
        <f t="shared" si="5"/>
        <v>-696.28005455469247</v>
      </c>
      <c r="Y31" s="17">
        <f t="shared" si="6"/>
        <v>-1.7843031508987361</v>
      </c>
      <c r="Z31" s="14">
        <v>5132889</v>
      </c>
      <c r="AA31" s="14">
        <v>1915213</v>
      </c>
      <c r="AB31" s="14">
        <v>-338363</v>
      </c>
      <c r="AC31" s="14">
        <v>0</v>
      </c>
      <c r="AD31" s="14">
        <v>0</v>
      </c>
      <c r="AE31" s="16">
        <f t="shared" si="7"/>
        <v>3556039</v>
      </c>
      <c r="AF31" s="6">
        <v>59578</v>
      </c>
      <c r="AG31" s="16">
        <f t="shared" si="8"/>
        <v>59687.116049548495</v>
      </c>
      <c r="AH31" s="15">
        <f t="shared" si="9"/>
        <v>3423.2456397560454</v>
      </c>
      <c r="AI31" s="17">
        <f t="shared" si="10"/>
        <v>5.1139007175216022</v>
      </c>
    </row>
    <row r="32" spans="4:35" ht="15.75" x14ac:dyDescent="0.25">
      <c r="D32" s="11" t="s">
        <v>63</v>
      </c>
      <c r="E32" s="14">
        <v>3991802</v>
      </c>
      <c r="F32" s="14">
        <v>1513400</v>
      </c>
      <c r="G32" s="14">
        <v>-282958</v>
      </c>
      <c r="H32" s="14">
        <v>0</v>
      </c>
      <c r="I32" s="14">
        <v>0</v>
      </c>
      <c r="J32" s="6">
        <f t="shared" si="0"/>
        <v>2761360</v>
      </c>
      <c r="K32" s="15">
        <f t="shared" si="1"/>
        <v>2992430.6048000003</v>
      </c>
      <c r="L32" s="18">
        <v>55479</v>
      </c>
      <c r="M32" s="15">
        <f t="shared" si="2"/>
        <v>53938.077557273929</v>
      </c>
      <c r="N32" s="18"/>
      <c r="O32" s="14">
        <v>4290703</v>
      </c>
      <c r="P32" s="14">
        <v>1645283</v>
      </c>
      <c r="Q32" s="14">
        <v>-293122</v>
      </c>
      <c r="R32" s="14">
        <v>0</v>
      </c>
      <c r="S32" s="14">
        <v>0</v>
      </c>
      <c r="T32" s="16">
        <f t="shared" si="3"/>
        <v>2938542</v>
      </c>
      <c r="U32" s="6">
        <v>55231</v>
      </c>
      <c r="V32" s="15">
        <f t="shared" si="4"/>
        <v>53204.577139649839</v>
      </c>
      <c r="W32" s="11" t="s">
        <v>63</v>
      </c>
      <c r="X32" s="17">
        <f t="shared" si="5"/>
        <v>-733.50041762409091</v>
      </c>
      <c r="Y32" s="17">
        <f t="shared" si="6"/>
        <v>-1.8008305593974483</v>
      </c>
      <c r="Z32" s="14">
        <v>4507079</v>
      </c>
      <c r="AA32" s="14">
        <v>1721373</v>
      </c>
      <c r="AB32" s="14">
        <v>-330042</v>
      </c>
      <c r="AC32" s="14">
        <v>0</v>
      </c>
      <c r="AD32" s="14">
        <v>0</v>
      </c>
      <c r="AE32" s="16">
        <f t="shared" si="7"/>
        <v>3115748</v>
      </c>
      <c r="AF32" s="6">
        <v>55289</v>
      </c>
      <c r="AG32" s="16">
        <f t="shared" si="8"/>
        <v>56353.849771202229</v>
      </c>
      <c r="AH32" s="15">
        <f t="shared" si="9"/>
        <v>3149.2726315523905</v>
      </c>
      <c r="AI32" s="17">
        <f t="shared" si="10"/>
        <v>6.0304055548636049</v>
      </c>
    </row>
    <row r="33" spans="4:35" ht="15.75" x14ac:dyDescent="0.25">
      <c r="D33" s="11" t="s">
        <v>35</v>
      </c>
      <c r="E33" s="14">
        <v>2385765</v>
      </c>
      <c r="F33" s="14">
        <v>795629</v>
      </c>
      <c r="G33" s="14">
        <v>-149663</v>
      </c>
      <c r="H33" s="14">
        <v>0</v>
      </c>
      <c r="I33" s="14">
        <v>0</v>
      </c>
      <c r="J33" s="6">
        <f t="shared" si="0"/>
        <v>1739799</v>
      </c>
      <c r="K33" s="15">
        <f t="shared" si="1"/>
        <v>1885385.38032</v>
      </c>
      <c r="L33" s="18">
        <v>31585</v>
      </c>
      <c r="M33" s="15">
        <f t="shared" si="2"/>
        <v>59692.429327845493</v>
      </c>
      <c r="N33" s="18"/>
      <c r="O33" s="14">
        <v>2496577</v>
      </c>
      <c r="P33" s="14">
        <v>826942</v>
      </c>
      <c r="Q33" s="14">
        <v>-155900</v>
      </c>
      <c r="R33" s="14">
        <v>0</v>
      </c>
      <c r="S33" s="14">
        <v>0</v>
      </c>
      <c r="T33" s="16">
        <f t="shared" si="3"/>
        <v>1825535</v>
      </c>
      <c r="U33" s="6">
        <v>31552</v>
      </c>
      <c r="V33" s="15">
        <f t="shared" si="4"/>
        <v>57857.980476673423</v>
      </c>
      <c r="W33" s="11" t="s">
        <v>35</v>
      </c>
      <c r="X33" s="17">
        <f t="shared" si="5"/>
        <v>-1834.4488511720701</v>
      </c>
      <c r="Y33" s="17">
        <f t="shared" si="6"/>
        <v>-3.1744374887346272</v>
      </c>
      <c r="Z33" s="14">
        <v>2670679</v>
      </c>
      <c r="AA33" s="14">
        <v>877733</v>
      </c>
      <c r="AB33" s="14">
        <v>-165641</v>
      </c>
      <c r="AC33" s="14">
        <v>0</v>
      </c>
      <c r="AD33" s="14">
        <v>0</v>
      </c>
      <c r="AE33" s="16">
        <f t="shared" si="7"/>
        <v>1958587</v>
      </c>
      <c r="AF33" s="6">
        <v>31551</v>
      </c>
      <c r="AG33" s="16">
        <f t="shared" si="8"/>
        <v>62076.85968749009</v>
      </c>
      <c r="AH33" s="15">
        <f t="shared" si="9"/>
        <v>4218.8792108166672</v>
      </c>
      <c r="AI33" s="17">
        <f t="shared" si="10"/>
        <v>7.288383953197286</v>
      </c>
    </row>
    <row r="34" spans="4:35" ht="15.75" x14ac:dyDescent="0.25">
      <c r="D34" s="11" t="s">
        <v>91</v>
      </c>
      <c r="E34" s="14">
        <v>2989800</v>
      </c>
      <c r="F34" s="14">
        <v>1061011</v>
      </c>
      <c r="G34" s="14">
        <v>-244537</v>
      </c>
      <c r="H34" s="14">
        <v>0</v>
      </c>
      <c r="I34" s="14">
        <v>0</v>
      </c>
      <c r="J34" s="6">
        <f t="shared" si="0"/>
        <v>2173326</v>
      </c>
      <c r="K34" s="15">
        <f t="shared" si="1"/>
        <v>2355189.9196800003</v>
      </c>
      <c r="L34" s="18">
        <v>47470</v>
      </c>
      <c r="M34" s="15">
        <f t="shared" si="2"/>
        <v>49614.281012850224</v>
      </c>
      <c r="N34" s="18"/>
      <c r="O34" s="14">
        <v>3202461</v>
      </c>
      <c r="P34" s="14">
        <v>1130097</v>
      </c>
      <c r="Q34" s="14">
        <v>-253062</v>
      </c>
      <c r="R34" s="14">
        <v>0</v>
      </c>
      <c r="S34" s="14">
        <v>0</v>
      </c>
      <c r="T34" s="16">
        <f t="shared" si="3"/>
        <v>2325426</v>
      </c>
      <c r="U34" s="6">
        <v>47782</v>
      </c>
      <c r="V34" s="15">
        <f t="shared" si="4"/>
        <v>48667.40613620192</v>
      </c>
      <c r="W34" s="11" t="s">
        <v>91</v>
      </c>
      <c r="X34" s="17">
        <f t="shared" si="5"/>
        <v>-946.87487664830405</v>
      </c>
      <c r="Y34" s="17">
        <f t="shared" si="6"/>
        <v>-1.2637587920741544</v>
      </c>
      <c r="Z34" s="14">
        <v>3372620</v>
      </c>
      <c r="AA34" s="14">
        <v>1180109</v>
      </c>
      <c r="AB34" s="14">
        <v>-252802</v>
      </c>
      <c r="AC34" s="14">
        <v>0</v>
      </c>
      <c r="AD34" s="14">
        <v>0</v>
      </c>
      <c r="AE34" s="16">
        <f t="shared" si="7"/>
        <v>2445313</v>
      </c>
      <c r="AF34" s="6">
        <v>47899</v>
      </c>
      <c r="AG34" s="16">
        <f t="shared" si="8"/>
        <v>51051.441574980687</v>
      </c>
      <c r="AH34" s="15">
        <f t="shared" si="9"/>
        <v>2384.0354387787665</v>
      </c>
      <c r="AI34" s="17">
        <f t="shared" si="10"/>
        <v>5.1554854895404123</v>
      </c>
    </row>
    <row r="35" spans="4:35" ht="15.75" x14ac:dyDescent="0.25">
      <c r="D35" s="11" t="s">
        <v>27</v>
      </c>
      <c r="E35" s="14">
        <v>4535160</v>
      </c>
      <c r="F35" s="14">
        <v>1434783</v>
      </c>
      <c r="G35" s="14">
        <v>-233375</v>
      </c>
      <c r="H35" s="14">
        <v>189</v>
      </c>
      <c r="I35" s="14">
        <v>0</v>
      </c>
      <c r="J35" s="6">
        <f t="shared" si="0"/>
        <v>3333563</v>
      </c>
      <c r="K35" s="15">
        <f t="shared" si="1"/>
        <v>3612515.5518400003</v>
      </c>
      <c r="L35" s="18">
        <v>63292</v>
      </c>
      <c r="M35" s="15">
        <f t="shared" si="2"/>
        <v>57076.969472287179</v>
      </c>
      <c r="N35" s="18"/>
      <c r="O35" s="14">
        <v>4834554</v>
      </c>
      <c r="P35" s="14">
        <v>1534158</v>
      </c>
      <c r="Q35" s="14">
        <v>-245755</v>
      </c>
      <c r="R35" s="14">
        <v>0</v>
      </c>
      <c r="S35" s="14">
        <v>0</v>
      </c>
      <c r="T35" s="16">
        <f t="shared" si="3"/>
        <v>3546151</v>
      </c>
      <c r="U35" s="6">
        <v>63618</v>
      </c>
      <c r="V35" s="15">
        <f t="shared" si="4"/>
        <v>55741.315351001293</v>
      </c>
      <c r="W35" s="11" t="s">
        <v>27</v>
      </c>
      <c r="X35" s="17">
        <f t="shared" si="5"/>
        <v>-1335.6541212858865</v>
      </c>
      <c r="Y35" s="17">
        <f t="shared" si="6"/>
        <v>-1.8370731111786665</v>
      </c>
      <c r="Z35" s="14">
        <v>5066095</v>
      </c>
      <c r="AA35" s="14">
        <v>1613421</v>
      </c>
      <c r="AB35" s="14">
        <v>-272083</v>
      </c>
      <c r="AC35" s="14">
        <v>509</v>
      </c>
      <c r="AD35" s="14">
        <v>0</v>
      </c>
      <c r="AE35" s="16">
        <f t="shared" si="7"/>
        <v>3724248</v>
      </c>
      <c r="AF35" s="6">
        <v>64047</v>
      </c>
      <c r="AG35" s="16">
        <f t="shared" si="8"/>
        <v>58148.672068949367</v>
      </c>
      <c r="AH35" s="15">
        <f t="shared" si="9"/>
        <v>2407.3567179480742</v>
      </c>
      <c r="AI35" s="17">
        <f t="shared" si="10"/>
        <v>5.0222621653731148</v>
      </c>
    </row>
    <row r="36" spans="4:35" ht="15.75" x14ac:dyDescent="0.25">
      <c r="D36" s="11" t="s">
        <v>15</v>
      </c>
      <c r="E36" s="14">
        <v>2170940</v>
      </c>
      <c r="F36" s="14">
        <v>648730</v>
      </c>
      <c r="G36" s="14">
        <v>-111310</v>
      </c>
      <c r="H36" s="14">
        <v>0</v>
      </c>
      <c r="I36" s="14">
        <v>0</v>
      </c>
      <c r="J36" s="6">
        <f t="shared" si="0"/>
        <v>1633520</v>
      </c>
      <c r="K36" s="15">
        <f t="shared" si="1"/>
        <v>1770212.9536000001</v>
      </c>
      <c r="L36" s="18">
        <v>29096</v>
      </c>
      <c r="M36" s="15">
        <f t="shared" si="2"/>
        <v>60840.423205938969</v>
      </c>
      <c r="N36" s="18"/>
      <c r="O36" s="14">
        <v>2294260</v>
      </c>
      <c r="P36" s="14">
        <v>666056</v>
      </c>
      <c r="Q36" s="14">
        <v>-107630</v>
      </c>
      <c r="R36" s="14">
        <v>0</v>
      </c>
      <c r="S36" s="14">
        <v>0</v>
      </c>
      <c r="T36" s="16">
        <f t="shared" si="3"/>
        <v>1735834</v>
      </c>
      <c r="U36" s="6">
        <v>29345</v>
      </c>
      <c r="V36" s="15">
        <f t="shared" si="4"/>
        <v>59152.632475719882</v>
      </c>
      <c r="W36" s="11" t="s">
        <v>15</v>
      </c>
      <c r="X36" s="17">
        <f t="shared" si="5"/>
        <v>-1687.790730219087</v>
      </c>
      <c r="Y36" s="17">
        <f t="shared" si="6"/>
        <v>-1.9420801056779791</v>
      </c>
      <c r="Z36" s="14">
        <v>2436690</v>
      </c>
      <c r="AA36" s="14">
        <v>706166</v>
      </c>
      <c r="AB36" s="14">
        <v>-113677</v>
      </c>
      <c r="AC36" s="14">
        <v>0</v>
      </c>
      <c r="AD36" s="14">
        <v>0</v>
      </c>
      <c r="AE36" s="16">
        <f t="shared" si="7"/>
        <v>1844201</v>
      </c>
      <c r="AF36" s="6">
        <v>30025</v>
      </c>
      <c r="AG36" s="16">
        <f t="shared" si="8"/>
        <v>61422.181515403827</v>
      </c>
      <c r="AH36" s="15">
        <f t="shared" si="9"/>
        <v>2269.549039683945</v>
      </c>
      <c r="AI36" s="17">
        <f t="shared" si="10"/>
        <v>6.2429356724202911</v>
      </c>
    </row>
    <row r="37" spans="4:35" ht="15.75" x14ac:dyDescent="0.25">
      <c r="D37" s="11" t="s">
        <v>76</v>
      </c>
      <c r="E37" s="14">
        <v>5749587</v>
      </c>
      <c r="F37" s="14">
        <v>2137987</v>
      </c>
      <c r="G37" s="14">
        <v>-390486</v>
      </c>
      <c r="H37" s="14">
        <v>0</v>
      </c>
      <c r="I37" s="14">
        <v>0</v>
      </c>
      <c r="J37" s="6">
        <f t="shared" si="0"/>
        <v>4002086</v>
      </c>
      <c r="K37" s="15">
        <f t="shared" si="1"/>
        <v>4336980.5564800007</v>
      </c>
      <c r="L37" s="18">
        <v>89820</v>
      </c>
      <c r="M37" s="15">
        <f t="shared" si="2"/>
        <v>48285.243336450694</v>
      </c>
      <c r="N37" s="18"/>
      <c r="O37" s="14">
        <v>6190467</v>
      </c>
      <c r="P37" s="14">
        <v>2325310</v>
      </c>
      <c r="Q37" s="14">
        <v>-392419</v>
      </c>
      <c r="R37" s="14">
        <v>0</v>
      </c>
      <c r="S37" s="14">
        <v>0</v>
      </c>
      <c r="T37" s="16">
        <f t="shared" si="3"/>
        <v>4257576</v>
      </c>
      <c r="U37" s="6">
        <v>90157</v>
      </c>
      <c r="V37" s="15">
        <f t="shared" si="4"/>
        <v>47224.020320108255</v>
      </c>
      <c r="W37" s="11" t="s">
        <v>76</v>
      </c>
      <c r="X37" s="17">
        <f t="shared" si="5"/>
        <v>-1061.2230163424392</v>
      </c>
      <c r="Y37" s="17">
        <f t="shared" si="6"/>
        <v>-1.8308718576420691</v>
      </c>
      <c r="Z37" s="14">
        <v>6531243</v>
      </c>
      <c r="AA37" s="14">
        <v>2452960</v>
      </c>
      <c r="AB37" s="14">
        <v>-439087</v>
      </c>
      <c r="AC37" s="14">
        <v>0</v>
      </c>
      <c r="AD37" s="14">
        <v>0</v>
      </c>
      <c r="AE37" s="16">
        <f t="shared" si="7"/>
        <v>4517370</v>
      </c>
      <c r="AF37" s="6">
        <v>89961</v>
      </c>
      <c r="AG37" s="16">
        <f t="shared" si="8"/>
        <v>50214.759729215992</v>
      </c>
      <c r="AH37" s="15">
        <f t="shared" si="9"/>
        <v>2990.7394091077367</v>
      </c>
      <c r="AI37" s="17">
        <f t="shared" si="10"/>
        <v>6.1019227842321611</v>
      </c>
    </row>
    <row r="38" spans="4:35" ht="15.75" x14ac:dyDescent="0.25">
      <c r="D38" s="11" t="s">
        <v>28</v>
      </c>
      <c r="E38" s="14">
        <v>3475098</v>
      </c>
      <c r="F38" s="14">
        <v>1038215</v>
      </c>
      <c r="G38" s="14">
        <v>-185938</v>
      </c>
      <c r="H38" s="14">
        <v>0</v>
      </c>
      <c r="I38" s="14">
        <v>0</v>
      </c>
      <c r="J38" s="6">
        <f t="shared" si="0"/>
        <v>2622821</v>
      </c>
      <c r="K38" s="15">
        <f t="shared" si="1"/>
        <v>2842298.6612800006</v>
      </c>
      <c r="L38" s="18">
        <v>53965</v>
      </c>
      <c r="M38" s="15">
        <f t="shared" si="2"/>
        <v>52669.297901973514</v>
      </c>
      <c r="N38" s="18"/>
      <c r="O38" s="14">
        <v>3740681</v>
      </c>
      <c r="P38" s="14">
        <v>1127283</v>
      </c>
      <c r="Q38" s="14">
        <v>-194282</v>
      </c>
      <c r="R38" s="14">
        <v>0</v>
      </c>
      <c r="S38" s="14">
        <v>0</v>
      </c>
      <c r="T38" s="16">
        <f t="shared" si="3"/>
        <v>2807680</v>
      </c>
      <c r="U38" s="6">
        <v>54758</v>
      </c>
      <c r="V38" s="15">
        <f t="shared" si="4"/>
        <v>51274.334343840164</v>
      </c>
      <c r="W38" s="11" t="s">
        <v>28</v>
      </c>
      <c r="X38" s="17">
        <f t="shared" si="5"/>
        <v>-1394.9635581333496</v>
      </c>
      <c r="Y38" s="17">
        <f t="shared" si="6"/>
        <v>-1.2179811274445895</v>
      </c>
      <c r="Z38" s="14">
        <v>3941380</v>
      </c>
      <c r="AA38" s="14">
        <v>1185358</v>
      </c>
      <c r="AB38" s="14">
        <v>-222217</v>
      </c>
      <c r="AC38" s="14">
        <v>0</v>
      </c>
      <c r="AD38" s="14">
        <v>61</v>
      </c>
      <c r="AE38" s="16">
        <f t="shared" si="7"/>
        <v>2978178</v>
      </c>
      <c r="AF38" s="6">
        <v>55035</v>
      </c>
      <c r="AG38" s="16">
        <f t="shared" si="8"/>
        <v>54114.254565276642</v>
      </c>
      <c r="AH38" s="15">
        <f t="shared" si="9"/>
        <v>2839.9202214364777</v>
      </c>
      <c r="AI38" s="17">
        <f t="shared" si="10"/>
        <v>6.0725581262822015</v>
      </c>
    </row>
    <row r="39" spans="4:35" ht="15.75" x14ac:dyDescent="0.25">
      <c r="D39" s="11" t="s">
        <v>104</v>
      </c>
      <c r="E39" s="14">
        <v>4757363</v>
      </c>
      <c r="F39" s="14">
        <v>1768030</v>
      </c>
      <c r="G39" s="14">
        <v>-340862</v>
      </c>
      <c r="H39" s="14">
        <v>0</v>
      </c>
      <c r="I39" s="14">
        <v>0</v>
      </c>
      <c r="J39" s="6">
        <f t="shared" si="0"/>
        <v>3330195</v>
      </c>
      <c r="K39" s="15">
        <f t="shared" si="1"/>
        <v>3608865.7176000001</v>
      </c>
      <c r="L39" s="18">
        <v>63900</v>
      </c>
      <c r="M39" s="15">
        <f t="shared" si="2"/>
        <v>56476.77179342723</v>
      </c>
      <c r="N39" s="18"/>
      <c r="O39" s="14">
        <v>5050800</v>
      </c>
      <c r="P39" s="14">
        <v>1889712</v>
      </c>
      <c r="Q39" s="14">
        <v>-360160</v>
      </c>
      <c r="R39" s="14">
        <v>0</v>
      </c>
      <c r="S39" s="14">
        <v>0</v>
      </c>
      <c r="T39" s="16">
        <f t="shared" si="3"/>
        <v>3521248</v>
      </c>
      <c r="U39" s="6">
        <v>63792</v>
      </c>
      <c r="V39" s="15">
        <f t="shared" si="4"/>
        <v>55198.896413343362</v>
      </c>
      <c r="W39" s="11" t="s">
        <v>104</v>
      </c>
      <c r="X39" s="17">
        <f t="shared" si="5"/>
        <v>-1277.8753800838676</v>
      </c>
      <c r="Y39" s="17">
        <f t="shared" si="6"/>
        <v>-2.4278464330966698</v>
      </c>
      <c r="Z39" s="14">
        <v>5326618</v>
      </c>
      <c r="AA39" s="14">
        <v>1986016</v>
      </c>
      <c r="AB39" s="14">
        <v>-384408</v>
      </c>
      <c r="AC39" s="14">
        <v>0</v>
      </c>
      <c r="AD39" s="14">
        <v>0</v>
      </c>
      <c r="AE39" s="16">
        <f t="shared" si="7"/>
        <v>3725010</v>
      </c>
      <c r="AF39" s="6">
        <v>63277</v>
      </c>
      <c r="AG39" s="16">
        <f t="shared" si="8"/>
        <v>58868.309180270873</v>
      </c>
      <c r="AH39" s="15">
        <f t="shared" si="9"/>
        <v>3669.4127669275113</v>
      </c>
      <c r="AI39" s="17">
        <f t="shared" si="10"/>
        <v>5.7866415543579963</v>
      </c>
    </row>
    <row r="40" spans="4:35" ht="15.75" x14ac:dyDescent="0.25">
      <c r="D40" s="11" t="s">
        <v>40</v>
      </c>
      <c r="E40" s="14">
        <v>4824752</v>
      </c>
      <c r="F40" s="14">
        <v>1733839</v>
      </c>
      <c r="G40" s="14">
        <v>-284087</v>
      </c>
      <c r="H40" s="14">
        <v>0</v>
      </c>
      <c r="I40" s="14">
        <v>0</v>
      </c>
      <c r="J40" s="6">
        <f t="shared" si="0"/>
        <v>3375000</v>
      </c>
      <c r="K40" s="15">
        <f t="shared" si="1"/>
        <v>3657420</v>
      </c>
      <c r="L40" s="18">
        <v>73563</v>
      </c>
      <c r="M40" s="15">
        <f t="shared" si="2"/>
        <v>49718.200725908406</v>
      </c>
      <c r="N40" s="18"/>
      <c r="O40" s="14">
        <v>5170092</v>
      </c>
      <c r="P40" s="14">
        <v>1913450</v>
      </c>
      <c r="Q40" s="14">
        <v>-347189</v>
      </c>
      <c r="R40" s="14">
        <v>0</v>
      </c>
      <c r="S40" s="14">
        <v>0</v>
      </c>
      <c r="T40" s="16">
        <f t="shared" si="3"/>
        <v>3603831</v>
      </c>
      <c r="U40" s="6">
        <v>73884</v>
      </c>
      <c r="V40" s="15">
        <f t="shared" si="4"/>
        <v>48776.879974013318</v>
      </c>
      <c r="W40" s="11" t="s">
        <v>40</v>
      </c>
      <c r="X40" s="17">
        <f t="shared" si="5"/>
        <v>-941.3207518950876</v>
      </c>
      <c r="Y40" s="17">
        <f t="shared" si="6"/>
        <v>-1.465213183063474</v>
      </c>
      <c r="Z40" s="14">
        <v>5513660</v>
      </c>
      <c r="AA40" s="14">
        <v>2040772</v>
      </c>
      <c r="AB40" s="14">
        <v>-371324</v>
      </c>
      <c r="AC40" s="14">
        <v>0</v>
      </c>
      <c r="AD40" s="14">
        <v>0</v>
      </c>
      <c r="AE40" s="16">
        <f t="shared" si="7"/>
        <v>3844212</v>
      </c>
      <c r="AF40" s="6">
        <v>74566</v>
      </c>
      <c r="AG40" s="16">
        <f t="shared" si="8"/>
        <v>51554.488640935546</v>
      </c>
      <c r="AH40" s="15">
        <f t="shared" si="9"/>
        <v>2777.6086669222277</v>
      </c>
      <c r="AI40" s="17">
        <f t="shared" si="10"/>
        <v>6.6701518467430887</v>
      </c>
    </row>
    <row r="41" spans="4:35" ht="15.75" x14ac:dyDescent="0.25">
      <c r="D41" s="11" t="s">
        <v>77</v>
      </c>
      <c r="E41" s="14">
        <v>3809155</v>
      </c>
      <c r="F41" s="14">
        <v>1373309</v>
      </c>
      <c r="G41" s="14">
        <v>-290421</v>
      </c>
      <c r="H41" s="14">
        <v>0</v>
      </c>
      <c r="I41" s="14">
        <v>203</v>
      </c>
      <c r="J41" s="6">
        <f t="shared" si="0"/>
        <v>2726064</v>
      </c>
      <c r="K41" s="15">
        <f t="shared" si="1"/>
        <v>2954181.0355200004</v>
      </c>
      <c r="L41" s="18">
        <v>58903</v>
      </c>
      <c r="M41" s="15">
        <f t="shared" si="2"/>
        <v>50153.32046788789</v>
      </c>
      <c r="N41" s="18"/>
      <c r="O41" s="14">
        <v>4042338</v>
      </c>
      <c r="P41" s="14">
        <v>1478884</v>
      </c>
      <c r="Q41" s="14">
        <v>-302615</v>
      </c>
      <c r="R41" s="14">
        <v>0</v>
      </c>
      <c r="S41" s="14">
        <v>211</v>
      </c>
      <c r="T41" s="16">
        <f t="shared" si="3"/>
        <v>2865858</v>
      </c>
      <c r="U41" s="6">
        <v>59059</v>
      </c>
      <c r="V41" s="15">
        <f t="shared" si="4"/>
        <v>48525.339067711946</v>
      </c>
      <c r="W41" s="11" t="s">
        <v>77</v>
      </c>
      <c r="X41" s="17">
        <f t="shared" si="5"/>
        <v>-1627.9814001759441</v>
      </c>
      <c r="Y41" s="17">
        <f t="shared" si="6"/>
        <v>-2.9897638112910574</v>
      </c>
      <c r="Z41" s="14">
        <v>4257412</v>
      </c>
      <c r="AA41" s="14">
        <v>1549680</v>
      </c>
      <c r="AB41" s="14">
        <v>-312005</v>
      </c>
      <c r="AC41" s="14">
        <v>0</v>
      </c>
      <c r="AD41" s="14">
        <v>222</v>
      </c>
      <c r="AE41" s="16">
        <f t="shared" si="7"/>
        <v>3019515</v>
      </c>
      <c r="AF41" s="6">
        <v>59036</v>
      </c>
      <c r="AG41" s="16">
        <f t="shared" si="8"/>
        <v>51147.011992682426</v>
      </c>
      <c r="AH41" s="15">
        <f t="shared" si="9"/>
        <v>2621.6729249704804</v>
      </c>
      <c r="AI41" s="17">
        <f t="shared" si="10"/>
        <v>5.3616403883234964</v>
      </c>
    </row>
    <row r="42" spans="4:35" ht="15.75" x14ac:dyDescent="0.25">
      <c r="D42" s="11" t="s">
        <v>73</v>
      </c>
      <c r="E42" s="14">
        <v>6303216</v>
      </c>
      <c r="F42" s="14">
        <v>2383776</v>
      </c>
      <c r="G42" s="14">
        <v>-432305</v>
      </c>
      <c r="H42" s="14">
        <v>1255</v>
      </c>
      <c r="I42" s="14">
        <v>0</v>
      </c>
      <c r="J42" s="6">
        <f t="shared" si="0"/>
        <v>4350490</v>
      </c>
      <c r="K42" s="15">
        <f t="shared" si="1"/>
        <v>4714539.0032000002</v>
      </c>
      <c r="L42" s="18">
        <v>96067</v>
      </c>
      <c r="M42" s="15">
        <f t="shared" si="2"/>
        <v>49075.530652565401</v>
      </c>
      <c r="N42" s="18"/>
      <c r="O42" s="14">
        <v>6818757</v>
      </c>
      <c r="P42" s="14">
        <v>2589880</v>
      </c>
      <c r="Q42" s="14">
        <v>-463432</v>
      </c>
      <c r="R42" s="14">
        <v>1304</v>
      </c>
      <c r="S42" s="14">
        <v>0</v>
      </c>
      <c r="T42" s="16">
        <f t="shared" si="3"/>
        <v>4691005</v>
      </c>
      <c r="U42" s="6">
        <v>97855</v>
      </c>
      <c r="V42" s="15">
        <f t="shared" si="4"/>
        <v>47938.327116652188</v>
      </c>
      <c r="W42" s="11" t="s">
        <v>73</v>
      </c>
      <c r="X42" s="17">
        <f t="shared" si="5"/>
        <v>-1137.2035359132133</v>
      </c>
      <c r="Y42" s="17">
        <f t="shared" si="6"/>
        <v>-0.49917930860315929</v>
      </c>
      <c r="Z42" s="14">
        <v>7227808</v>
      </c>
      <c r="AA42" s="14">
        <v>2753599</v>
      </c>
      <c r="AB42" s="14">
        <v>-501383</v>
      </c>
      <c r="AC42" s="14">
        <v>1370</v>
      </c>
      <c r="AD42" s="14">
        <v>0</v>
      </c>
      <c r="AE42" s="16">
        <f t="shared" si="7"/>
        <v>4974222</v>
      </c>
      <c r="AF42" s="6">
        <v>98900</v>
      </c>
      <c r="AG42" s="16">
        <f t="shared" si="8"/>
        <v>50295.470171890796</v>
      </c>
      <c r="AH42" s="15">
        <f t="shared" si="9"/>
        <v>2357.1430552386082</v>
      </c>
      <c r="AI42" s="17">
        <f t="shared" si="10"/>
        <v>6.037448265350398</v>
      </c>
    </row>
    <row r="43" spans="4:35" ht="15.75" x14ac:dyDescent="0.25">
      <c r="D43" s="11" t="s">
        <v>17</v>
      </c>
      <c r="E43" s="14">
        <v>4129599</v>
      </c>
      <c r="F43" s="14">
        <v>1330998</v>
      </c>
      <c r="G43" s="14">
        <v>-261430</v>
      </c>
      <c r="H43" s="14">
        <v>0</v>
      </c>
      <c r="I43" s="14">
        <v>0</v>
      </c>
      <c r="J43" s="6">
        <f t="shared" si="0"/>
        <v>3060031</v>
      </c>
      <c r="K43" s="15">
        <f t="shared" si="1"/>
        <v>3316094.3940800005</v>
      </c>
      <c r="L43" s="18">
        <v>53612</v>
      </c>
      <c r="M43" s="15">
        <f t="shared" si="2"/>
        <v>61853.584907856457</v>
      </c>
      <c r="N43" s="18"/>
      <c r="O43" s="14">
        <v>4400420</v>
      </c>
      <c r="P43" s="14">
        <v>1414537</v>
      </c>
      <c r="Q43" s="14">
        <v>-237009</v>
      </c>
      <c r="R43" s="14">
        <v>0</v>
      </c>
      <c r="S43" s="14">
        <v>0</v>
      </c>
      <c r="T43" s="16">
        <f t="shared" si="3"/>
        <v>3222892</v>
      </c>
      <c r="U43" s="6">
        <v>53563</v>
      </c>
      <c r="V43" s="15">
        <f t="shared" si="4"/>
        <v>60170.117431809274</v>
      </c>
      <c r="W43" s="11" t="s">
        <v>17</v>
      </c>
      <c r="X43" s="17">
        <f t="shared" si="5"/>
        <v>-1683.4674760471826</v>
      </c>
      <c r="Y43" s="17">
        <f t="shared" si="6"/>
        <v>-2.8106073894153427</v>
      </c>
      <c r="Z43" s="14">
        <v>4598997</v>
      </c>
      <c r="AA43" s="14">
        <v>1449133</v>
      </c>
      <c r="AB43" s="14">
        <v>-240244</v>
      </c>
      <c r="AC43" s="14">
        <v>0</v>
      </c>
      <c r="AD43" s="14">
        <v>0</v>
      </c>
      <c r="AE43" s="16">
        <f t="shared" si="7"/>
        <v>3390108</v>
      </c>
      <c r="AF43" s="6">
        <v>53820</v>
      </c>
      <c r="AG43" s="16">
        <f t="shared" si="8"/>
        <v>62989.743589743586</v>
      </c>
      <c r="AH43" s="15">
        <f t="shared" si="9"/>
        <v>2819.6261579343118</v>
      </c>
      <c r="AI43" s="17">
        <f t="shared" si="10"/>
        <v>5.1883836008156603</v>
      </c>
    </row>
    <row r="44" spans="4:35" ht="15.75" x14ac:dyDescent="0.25">
      <c r="D44" s="11" t="s">
        <v>18</v>
      </c>
      <c r="E44" s="14">
        <v>4061262</v>
      </c>
      <c r="F44" s="14">
        <v>1239540</v>
      </c>
      <c r="G44" s="14">
        <v>-243083</v>
      </c>
      <c r="H44" s="14">
        <v>342</v>
      </c>
      <c r="I44" s="14">
        <v>180</v>
      </c>
      <c r="J44" s="6">
        <f t="shared" si="0"/>
        <v>3064283</v>
      </c>
      <c r="K44" s="15">
        <f t="shared" si="1"/>
        <v>3320702.20144</v>
      </c>
      <c r="L44" s="18">
        <v>53670</v>
      </c>
      <c r="M44" s="15">
        <f t="shared" si="2"/>
        <v>61872.595517793925</v>
      </c>
      <c r="N44" s="18"/>
      <c r="O44" s="14">
        <v>4397122</v>
      </c>
      <c r="P44" s="14">
        <v>1370050</v>
      </c>
      <c r="Q44" s="14">
        <v>-268502</v>
      </c>
      <c r="R44" s="14">
        <v>378</v>
      </c>
      <c r="S44" s="14">
        <v>0</v>
      </c>
      <c r="T44" s="16">
        <f t="shared" si="3"/>
        <v>3295196</v>
      </c>
      <c r="U44" s="6">
        <v>56084</v>
      </c>
      <c r="V44" s="15">
        <f t="shared" si="4"/>
        <v>58754.653733685191</v>
      </c>
      <c r="W44" s="11" t="s">
        <v>18</v>
      </c>
      <c r="X44" s="17">
        <f t="shared" si="5"/>
        <v>-3117.9417841087343</v>
      </c>
      <c r="Y44" s="17">
        <f t="shared" si="6"/>
        <v>-0.76809662212224961</v>
      </c>
      <c r="Z44" s="14">
        <v>4748962</v>
      </c>
      <c r="AA44" s="14">
        <v>1469210</v>
      </c>
      <c r="AB44" s="14">
        <v>-260728</v>
      </c>
      <c r="AC44" s="14">
        <v>398</v>
      </c>
      <c r="AD44" s="14">
        <v>0</v>
      </c>
      <c r="AE44" s="16">
        <f t="shared" si="7"/>
        <v>3540082</v>
      </c>
      <c r="AF44" s="6">
        <v>58664</v>
      </c>
      <c r="AG44" s="16">
        <f t="shared" si="8"/>
        <v>60345.049774989777</v>
      </c>
      <c r="AH44" s="15">
        <f t="shared" si="9"/>
        <v>1590.3960413045861</v>
      </c>
      <c r="AI44" s="17">
        <f t="shared" si="10"/>
        <v>7.4316064962448358</v>
      </c>
    </row>
    <row r="45" spans="4:35" ht="15.75" x14ac:dyDescent="0.25">
      <c r="D45" s="11" t="s">
        <v>29</v>
      </c>
      <c r="E45" s="14">
        <v>1548922</v>
      </c>
      <c r="F45" s="14">
        <v>379538</v>
      </c>
      <c r="G45" s="14">
        <v>-66556</v>
      </c>
      <c r="H45" s="14">
        <v>0</v>
      </c>
      <c r="I45" s="14">
        <v>0</v>
      </c>
      <c r="J45" s="6">
        <f t="shared" si="0"/>
        <v>1235940</v>
      </c>
      <c r="K45" s="15">
        <f t="shared" si="1"/>
        <v>1339363.4591999999</v>
      </c>
      <c r="L45" s="18">
        <v>24818</v>
      </c>
      <c r="M45" s="15">
        <f t="shared" si="2"/>
        <v>53967.42119429446</v>
      </c>
      <c r="N45" s="18"/>
      <c r="O45" s="14">
        <v>1631154</v>
      </c>
      <c r="P45" s="14">
        <v>390713</v>
      </c>
      <c r="Q45" s="14">
        <v>-77876</v>
      </c>
      <c r="R45" s="14">
        <v>0</v>
      </c>
      <c r="S45" s="14">
        <v>0</v>
      </c>
      <c r="T45" s="16">
        <f t="shared" si="3"/>
        <v>1318317</v>
      </c>
      <c r="U45" s="6">
        <v>24630</v>
      </c>
      <c r="V45" s="15">
        <f t="shared" si="4"/>
        <v>53524.847746650426</v>
      </c>
      <c r="W45" s="11" t="s">
        <v>29</v>
      </c>
      <c r="X45" s="17">
        <f t="shared" si="5"/>
        <v>-442.57344764403388</v>
      </c>
      <c r="Y45" s="17">
        <f t="shared" si="6"/>
        <v>-1.5713777358515424</v>
      </c>
      <c r="Z45" s="14">
        <v>1735891</v>
      </c>
      <c r="AA45" s="14">
        <v>416690</v>
      </c>
      <c r="AB45" s="14">
        <v>-75909</v>
      </c>
      <c r="AC45" s="14">
        <v>0</v>
      </c>
      <c r="AD45" s="14">
        <v>0</v>
      </c>
      <c r="AE45" s="16">
        <f t="shared" si="7"/>
        <v>1395110</v>
      </c>
      <c r="AF45" s="6">
        <v>24698</v>
      </c>
      <c r="AG45" s="16">
        <f t="shared" si="8"/>
        <v>56486.760061543442</v>
      </c>
      <c r="AH45" s="15">
        <f t="shared" si="9"/>
        <v>2961.9123148930157</v>
      </c>
      <c r="AI45" s="17">
        <f t="shared" si="10"/>
        <v>5.825078490226554</v>
      </c>
    </row>
    <row r="46" spans="4:35" ht="15.75" x14ac:dyDescent="0.25">
      <c r="D46" s="11" t="s">
        <v>89</v>
      </c>
      <c r="E46" s="14">
        <v>2710149</v>
      </c>
      <c r="F46" s="14">
        <v>1000347</v>
      </c>
      <c r="G46" s="14">
        <v>-177309</v>
      </c>
      <c r="H46" s="14">
        <v>0</v>
      </c>
      <c r="I46" s="14">
        <v>0</v>
      </c>
      <c r="J46" s="6">
        <f t="shared" si="0"/>
        <v>1887111</v>
      </c>
      <c r="K46" s="15">
        <f t="shared" si="1"/>
        <v>2045024.44848</v>
      </c>
      <c r="L46" s="18">
        <v>42259</v>
      </c>
      <c r="M46" s="15">
        <f t="shared" si="2"/>
        <v>48392.637035424406</v>
      </c>
      <c r="N46" s="18"/>
      <c r="O46" s="14">
        <v>2905081</v>
      </c>
      <c r="P46" s="14">
        <v>1054045</v>
      </c>
      <c r="Q46" s="14">
        <v>-180256</v>
      </c>
      <c r="R46" s="14">
        <v>0</v>
      </c>
      <c r="S46" s="14">
        <v>0</v>
      </c>
      <c r="T46" s="16">
        <f t="shared" si="3"/>
        <v>2031292</v>
      </c>
      <c r="U46" s="6">
        <v>42789</v>
      </c>
      <c r="V46" s="15">
        <f t="shared" si="4"/>
        <v>47472.294281240509</v>
      </c>
      <c r="W46" s="11" t="s">
        <v>89</v>
      </c>
      <c r="X46" s="17">
        <f t="shared" si="5"/>
        <v>-920.34275418389734</v>
      </c>
      <c r="Y46" s="17">
        <f t="shared" si="6"/>
        <v>-0.67150534509291537</v>
      </c>
      <c r="Z46" s="14">
        <v>3102341</v>
      </c>
      <c r="AA46" s="14">
        <v>1141772</v>
      </c>
      <c r="AB46" s="14">
        <v>-190016</v>
      </c>
      <c r="AC46" s="14">
        <v>0</v>
      </c>
      <c r="AD46" s="14">
        <v>0</v>
      </c>
      <c r="AE46" s="16">
        <f t="shared" si="7"/>
        <v>2150585</v>
      </c>
      <c r="AF46" s="6">
        <v>42953</v>
      </c>
      <c r="AG46" s="16">
        <f t="shared" si="8"/>
        <v>50068.330500779921</v>
      </c>
      <c r="AH46" s="15">
        <f t="shared" si="9"/>
        <v>2596.0362195394118</v>
      </c>
      <c r="AI46" s="17">
        <f t="shared" si="10"/>
        <v>5.8727647231417324</v>
      </c>
    </row>
    <row r="47" spans="4:35" ht="15.75" x14ac:dyDescent="0.25">
      <c r="D47" s="11" t="s">
        <v>21</v>
      </c>
      <c r="E47" s="14">
        <v>1961099</v>
      </c>
      <c r="F47" s="14">
        <v>651325</v>
      </c>
      <c r="G47" s="14">
        <v>-107444</v>
      </c>
      <c r="H47" s="14">
        <v>0</v>
      </c>
      <c r="I47" s="14">
        <v>0</v>
      </c>
      <c r="J47" s="6">
        <f t="shared" si="0"/>
        <v>1417218</v>
      </c>
      <c r="K47" s="15">
        <f t="shared" si="1"/>
        <v>1535810.8022400001</v>
      </c>
      <c r="L47" s="18">
        <v>23372</v>
      </c>
      <c r="M47" s="15">
        <f t="shared" si="2"/>
        <v>65711.56949512237</v>
      </c>
      <c r="N47" s="18"/>
      <c r="O47" s="14">
        <v>2082358</v>
      </c>
      <c r="P47" s="14">
        <v>695430</v>
      </c>
      <c r="Q47" s="14">
        <v>-111760</v>
      </c>
      <c r="R47" s="14">
        <v>0</v>
      </c>
      <c r="S47" s="14">
        <v>0</v>
      </c>
      <c r="T47" s="16">
        <f t="shared" si="3"/>
        <v>1498688</v>
      </c>
      <c r="U47" s="6">
        <v>23592</v>
      </c>
      <c r="V47" s="15">
        <f t="shared" si="4"/>
        <v>63525.26280094948</v>
      </c>
      <c r="W47" s="11" t="s">
        <v>21</v>
      </c>
      <c r="X47" s="17">
        <f t="shared" si="5"/>
        <v>-2186.3066941728903</v>
      </c>
      <c r="Y47" s="17">
        <f t="shared" si="6"/>
        <v>-2.4171468377391259</v>
      </c>
      <c r="Z47" s="14">
        <v>2189419</v>
      </c>
      <c r="AA47" s="14">
        <v>725488</v>
      </c>
      <c r="AB47" s="14">
        <v>-128502</v>
      </c>
      <c r="AC47" s="14">
        <v>0</v>
      </c>
      <c r="AD47" s="14">
        <v>0</v>
      </c>
      <c r="AE47" s="16">
        <f t="shared" si="7"/>
        <v>1592433</v>
      </c>
      <c r="AF47" s="6">
        <v>23779</v>
      </c>
      <c r="AG47" s="16">
        <f t="shared" si="8"/>
        <v>66968.039026031372</v>
      </c>
      <c r="AH47" s="15">
        <f t="shared" si="9"/>
        <v>3442.7762250818923</v>
      </c>
      <c r="AI47" s="17">
        <f t="shared" si="10"/>
        <v>6.2551378272195368</v>
      </c>
    </row>
    <row r="48" spans="4:35" ht="15.75" x14ac:dyDescent="0.25">
      <c r="D48" s="11" t="s">
        <v>102</v>
      </c>
      <c r="E48" s="14">
        <v>2637774</v>
      </c>
      <c r="F48" s="14">
        <v>879107</v>
      </c>
      <c r="G48" s="14">
        <v>-168282</v>
      </c>
      <c r="H48" s="14">
        <v>0</v>
      </c>
      <c r="I48" s="14">
        <v>0</v>
      </c>
      <c r="J48" s="6">
        <f t="shared" si="0"/>
        <v>1926949</v>
      </c>
      <c r="K48" s="15">
        <f t="shared" si="1"/>
        <v>2088196.0923200001</v>
      </c>
      <c r="L48" s="18">
        <v>38328</v>
      </c>
      <c r="M48" s="15">
        <f t="shared" si="2"/>
        <v>54482.26080985181</v>
      </c>
      <c r="N48" s="18"/>
      <c r="O48" s="14">
        <v>2813928</v>
      </c>
      <c r="P48" s="14">
        <v>977166</v>
      </c>
      <c r="Q48" s="14">
        <v>-195517</v>
      </c>
      <c r="R48" s="14">
        <v>0</v>
      </c>
      <c r="S48" s="14">
        <v>0</v>
      </c>
      <c r="T48" s="16">
        <f t="shared" si="3"/>
        <v>2032279</v>
      </c>
      <c r="U48" s="6">
        <v>38324</v>
      </c>
      <c r="V48" s="15">
        <f t="shared" si="4"/>
        <v>53028.885293810665</v>
      </c>
      <c r="W48" s="11" t="s">
        <v>102</v>
      </c>
      <c r="X48" s="17">
        <f t="shared" si="5"/>
        <v>-1453.3755160411456</v>
      </c>
      <c r="Y48" s="17">
        <f t="shared" si="6"/>
        <v>-2.6777701828699318</v>
      </c>
      <c r="Z48" s="14">
        <v>2946615</v>
      </c>
      <c r="AA48" s="14">
        <v>1061900</v>
      </c>
      <c r="AB48" s="14">
        <v>-206151</v>
      </c>
      <c r="AC48" s="14">
        <v>0</v>
      </c>
      <c r="AD48" s="14">
        <v>0</v>
      </c>
      <c r="AE48" s="16">
        <f t="shared" si="7"/>
        <v>2090866</v>
      </c>
      <c r="AF48" s="6">
        <v>38164</v>
      </c>
      <c r="AG48" s="16">
        <f t="shared" si="8"/>
        <v>54786.343150613146</v>
      </c>
      <c r="AH48" s="15">
        <f t="shared" si="9"/>
        <v>1757.4578568024808</v>
      </c>
      <c r="AI48" s="17">
        <f t="shared" si="10"/>
        <v>2.8828226833028436</v>
      </c>
    </row>
    <row r="49" spans="4:35" ht="15.75" x14ac:dyDescent="0.25">
      <c r="D49" s="11" t="s">
        <v>42</v>
      </c>
      <c r="E49" s="14">
        <v>3598225</v>
      </c>
      <c r="F49" s="14">
        <v>1390402</v>
      </c>
      <c r="G49" s="14">
        <v>-216407</v>
      </c>
      <c r="H49" s="14">
        <v>0</v>
      </c>
      <c r="I49" s="14">
        <v>0</v>
      </c>
      <c r="J49" s="6">
        <f t="shared" si="0"/>
        <v>2424230</v>
      </c>
      <c r="K49" s="15">
        <f t="shared" si="1"/>
        <v>2627089.5664000004</v>
      </c>
      <c r="L49" s="18">
        <v>48473</v>
      </c>
      <c r="M49" s="15">
        <f t="shared" si="2"/>
        <v>54196.966690735055</v>
      </c>
      <c r="N49" s="18"/>
      <c r="O49" s="14">
        <v>3888632</v>
      </c>
      <c r="P49" s="14">
        <v>1540285</v>
      </c>
      <c r="Q49" s="14">
        <v>-232757</v>
      </c>
      <c r="R49" s="14">
        <v>0</v>
      </c>
      <c r="S49" s="14">
        <v>0</v>
      </c>
      <c r="T49" s="16">
        <f t="shared" si="3"/>
        <v>2581104</v>
      </c>
      <c r="U49" s="6">
        <v>48546</v>
      </c>
      <c r="V49" s="15">
        <f t="shared" si="4"/>
        <v>53168.211593128173</v>
      </c>
      <c r="W49" s="11" t="s">
        <v>42</v>
      </c>
      <c r="X49" s="17">
        <f t="shared" si="5"/>
        <v>-1028.7550976068815</v>
      </c>
      <c r="Y49" s="17">
        <f t="shared" si="6"/>
        <v>-1.7504377082588785</v>
      </c>
      <c r="Z49" s="14">
        <v>4109567</v>
      </c>
      <c r="AA49" s="14">
        <v>1639045</v>
      </c>
      <c r="AB49" s="14">
        <v>-256680</v>
      </c>
      <c r="AC49" s="14">
        <v>0</v>
      </c>
      <c r="AD49" s="14">
        <v>0</v>
      </c>
      <c r="AE49" s="16">
        <f t="shared" si="7"/>
        <v>2727202</v>
      </c>
      <c r="AF49" s="6">
        <v>48208</v>
      </c>
      <c r="AG49" s="16">
        <f t="shared" si="8"/>
        <v>56571.564885496176</v>
      </c>
      <c r="AH49" s="15">
        <f t="shared" si="9"/>
        <v>3403.3532923680032</v>
      </c>
      <c r="AI49" s="17">
        <f t="shared" si="10"/>
        <v>5.6602911002423761</v>
      </c>
    </row>
    <row r="50" spans="4:35" ht="15.75" x14ac:dyDescent="0.25">
      <c r="D50" s="11" t="s">
        <v>56</v>
      </c>
      <c r="E50" s="14">
        <v>1691331</v>
      </c>
      <c r="F50" s="14">
        <v>608031</v>
      </c>
      <c r="G50" s="14">
        <v>-113736</v>
      </c>
      <c r="H50" s="14">
        <v>0</v>
      </c>
      <c r="I50" s="14">
        <v>106</v>
      </c>
      <c r="J50" s="6">
        <f t="shared" si="0"/>
        <v>1196930</v>
      </c>
      <c r="K50" s="15">
        <f t="shared" si="1"/>
        <v>1297089.1024000002</v>
      </c>
      <c r="L50" s="18">
        <v>24236</v>
      </c>
      <c r="M50" s="15">
        <f t="shared" si="2"/>
        <v>53519.108037629987</v>
      </c>
      <c r="N50" s="18"/>
      <c r="O50" s="14">
        <v>1806239</v>
      </c>
      <c r="P50" s="14">
        <v>660001</v>
      </c>
      <c r="Q50" s="14">
        <v>-119081</v>
      </c>
      <c r="R50" s="14">
        <v>0</v>
      </c>
      <c r="S50" s="14">
        <v>110</v>
      </c>
      <c r="T50" s="16">
        <f t="shared" si="3"/>
        <v>1265209</v>
      </c>
      <c r="U50" s="6">
        <v>24049</v>
      </c>
      <c r="V50" s="15">
        <f t="shared" si="4"/>
        <v>52609.630338059796</v>
      </c>
      <c r="W50" s="11" t="s">
        <v>56</v>
      </c>
      <c r="X50" s="17">
        <f t="shared" si="5"/>
        <v>-909.47769957019045</v>
      </c>
      <c r="Y50" s="17">
        <f t="shared" si="6"/>
        <v>-2.4578189995592914</v>
      </c>
      <c r="Z50" s="14">
        <v>1893135</v>
      </c>
      <c r="AA50" s="14">
        <v>700762</v>
      </c>
      <c r="AB50" s="14">
        <v>-118071</v>
      </c>
      <c r="AC50" s="14">
        <v>0</v>
      </c>
      <c r="AD50" s="14">
        <v>116</v>
      </c>
      <c r="AE50" s="16">
        <f t="shared" si="7"/>
        <v>1310328</v>
      </c>
      <c r="AF50" s="6">
        <v>23888</v>
      </c>
      <c r="AG50" s="16">
        <f t="shared" si="8"/>
        <v>54852.980576021429</v>
      </c>
      <c r="AH50" s="15">
        <f t="shared" si="9"/>
        <v>2243.350237961633</v>
      </c>
      <c r="AI50" s="17">
        <f t="shared" si="10"/>
        <v>3.5661301808634027</v>
      </c>
    </row>
    <row r="51" spans="4:35" ht="15.75" x14ac:dyDescent="0.25">
      <c r="D51" s="11" t="s">
        <v>74</v>
      </c>
      <c r="E51" s="14">
        <v>6145221</v>
      </c>
      <c r="F51" s="14">
        <v>2199843</v>
      </c>
      <c r="G51" s="14">
        <v>-404130</v>
      </c>
      <c r="H51" s="14">
        <v>2240</v>
      </c>
      <c r="I51" s="14">
        <v>575</v>
      </c>
      <c r="J51" s="6">
        <f t="shared" si="0"/>
        <v>4346693</v>
      </c>
      <c r="K51" s="15">
        <f t="shared" si="1"/>
        <v>4710424.2702400004</v>
      </c>
      <c r="L51" s="18">
        <v>94245</v>
      </c>
      <c r="M51" s="15">
        <f t="shared" si="2"/>
        <v>49980.627834261766</v>
      </c>
      <c r="N51" s="18"/>
      <c r="O51" s="14">
        <v>6628845</v>
      </c>
      <c r="P51" s="14">
        <v>2212272</v>
      </c>
      <c r="Q51" s="14">
        <v>-221345</v>
      </c>
      <c r="R51" s="14">
        <v>1302</v>
      </c>
      <c r="S51" s="14">
        <v>513</v>
      </c>
      <c r="T51" s="16">
        <f t="shared" si="3"/>
        <v>4636103</v>
      </c>
      <c r="U51" s="6">
        <v>94846</v>
      </c>
      <c r="V51" s="15">
        <f t="shared" si="4"/>
        <v>48880.321784787971</v>
      </c>
      <c r="W51" s="11" t="s">
        <v>74</v>
      </c>
      <c r="X51" s="17">
        <f t="shared" si="5"/>
        <v>-1100.3060494737947</v>
      </c>
      <c r="Y51" s="17">
        <f t="shared" si="6"/>
        <v>-1.577804163195129</v>
      </c>
      <c r="Z51" s="14">
        <v>7052795</v>
      </c>
      <c r="AA51" s="14">
        <v>2508521</v>
      </c>
      <c r="AB51" s="14">
        <v>-417530</v>
      </c>
      <c r="AC51" s="14">
        <v>1274</v>
      </c>
      <c r="AD51" s="14">
        <v>541</v>
      </c>
      <c r="AE51" s="16">
        <f t="shared" si="7"/>
        <v>4959989</v>
      </c>
      <c r="AF51" s="6">
        <v>95239</v>
      </c>
      <c r="AG51" s="16">
        <f t="shared" si="8"/>
        <v>52079.389745797416</v>
      </c>
      <c r="AH51" s="15">
        <f t="shared" si="9"/>
        <v>3199.0679610094448</v>
      </c>
      <c r="AI51" s="17">
        <f t="shared" si="10"/>
        <v>6.9861692028843958</v>
      </c>
    </row>
    <row r="52" spans="4:35" ht="15.75" x14ac:dyDescent="0.25">
      <c r="D52" s="11" t="s">
        <v>7</v>
      </c>
      <c r="E52" s="14">
        <v>41239071</v>
      </c>
      <c r="F52" s="14">
        <v>13215012</v>
      </c>
      <c r="G52" s="14">
        <v>-2020377</v>
      </c>
      <c r="H52" s="14">
        <v>0</v>
      </c>
      <c r="I52" s="14">
        <v>207419</v>
      </c>
      <c r="J52" s="6">
        <f t="shared" si="0"/>
        <v>29837017</v>
      </c>
      <c r="K52" s="15">
        <f t="shared" si="1"/>
        <v>32333778.582560003</v>
      </c>
      <c r="L52" s="18">
        <v>654108</v>
      </c>
      <c r="M52" s="15">
        <f t="shared" si="2"/>
        <v>49431.865353366724</v>
      </c>
      <c r="N52" s="18"/>
      <c r="O52" s="14">
        <v>43855123</v>
      </c>
      <c r="P52" s="14">
        <v>13692183</v>
      </c>
      <c r="Q52" s="14">
        <v>-2028081</v>
      </c>
      <c r="R52" s="14">
        <v>-12009</v>
      </c>
      <c r="S52" s="14">
        <v>226208</v>
      </c>
      <c r="T52" s="16">
        <f t="shared" si="3"/>
        <v>31976822</v>
      </c>
      <c r="U52" s="6">
        <v>660055</v>
      </c>
      <c r="V52" s="15">
        <f t="shared" si="4"/>
        <v>48445.693161933479</v>
      </c>
      <c r="W52" s="11" t="s">
        <v>7</v>
      </c>
      <c r="X52" s="17">
        <f t="shared" si="5"/>
        <v>-986.17219143324473</v>
      </c>
      <c r="Y52" s="17">
        <f t="shared" si="6"/>
        <v>-1.1039742282163534</v>
      </c>
      <c r="Z52" s="14">
        <v>46337530</v>
      </c>
      <c r="AA52" s="14">
        <v>14302320</v>
      </c>
      <c r="AB52" s="14">
        <v>-2272452</v>
      </c>
      <c r="AC52" s="14">
        <v>-12483</v>
      </c>
      <c r="AD52" s="14">
        <v>225465</v>
      </c>
      <c r="AE52" s="16">
        <f t="shared" si="7"/>
        <v>34094680</v>
      </c>
      <c r="AF52" s="6">
        <v>664507</v>
      </c>
      <c r="AG52" s="16">
        <f t="shared" si="8"/>
        <v>51308.233020871114</v>
      </c>
      <c r="AH52" s="15">
        <f t="shared" si="9"/>
        <v>2862.5398589376346</v>
      </c>
      <c r="AI52" s="17">
        <f t="shared" si="10"/>
        <v>6.6231034466151861</v>
      </c>
    </row>
    <row r="53" spans="4:35" ht="15.75" x14ac:dyDescent="0.25">
      <c r="D53" s="11" t="s">
        <v>34</v>
      </c>
      <c r="E53" s="14">
        <v>4334188</v>
      </c>
      <c r="F53" s="14">
        <v>1498886</v>
      </c>
      <c r="G53" s="14">
        <v>-270041</v>
      </c>
      <c r="H53" s="14">
        <v>0</v>
      </c>
      <c r="I53" s="14">
        <v>357</v>
      </c>
      <c r="J53" s="6">
        <f t="shared" si="0"/>
        <v>3104986</v>
      </c>
      <c r="K53" s="15">
        <f t="shared" si="1"/>
        <v>3364811.22848</v>
      </c>
      <c r="L53" s="18">
        <v>62344</v>
      </c>
      <c r="M53" s="15">
        <f t="shared" si="2"/>
        <v>53971.693001411521</v>
      </c>
      <c r="N53" s="18"/>
      <c r="O53" s="14">
        <v>4670252</v>
      </c>
      <c r="P53" s="14">
        <v>1638537</v>
      </c>
      <c r="Q53" s="14">
        <v>-292700</v>
      </c>
      <c r="R53" s="14">
        <v>0</v>
      </c>
      <c r="S53" s="14">
        <v>370</v>
      </c>
      <c r="T53" s="16">
        <f t="shared" si="3"/>
        <v>3324045</v>
      </c>
      <c r="U53" s="6">
        <v>62835</v>
      </c>
      <c r="V53" s="15">
        <f t="shared" si="4"/>
        <v>52901.169730245885</v>
      </c>
      <c r="W53" s="11" t="s">
        <v>34</v>
      </c>
      <c r="X53" s="17">
        <f t="shared" si="5"/>
        <v>-1070.5232711656354</v>
      </c>
      <c r="Y53" s="17">
        <f t="shared" si="6"/>
        <v>-1.2115457810813246</v>
      </c>
      <c r="Z53" s="14">
        <v>4967606</v>
      </c>
      <c r="AA53" s="14">
        <v>1665273</v>
      </c>
      <c r="AB53" s="14">
        <v>-299927</v>
      </c>
      <c r="AC53" s="14">
        <v>0</v>
      </c>
      <c r="AD53" s="14">
        <v>388</v>
      </c>
      <c r="AE53" s="16">
        <f t="shared" si="7"/>
        <v>3601872</v>
      </c>
      <c r="AF53" s="6">
        <v>63170</v>
      </c>
      <c r="AG53" s="16">
        <f t="shared" si="8"/>
        <v>57018.711413645717</v>
      </c>
      <c r="AH53" s="15">
        <f t="shared" si="9"/>
        <v>4117.5416833998315</v>
      </c>
      <c r="AI53" s="17">
        <f t="shared" si="10"/>
        <v>8.3580998452186925</v>
      </c>
    </row>
    <row r="54" spans="4:35" ht="15.75" x14ac:dyDescent="0.25">
      <c r="D54" s="11" t="s">
        <v>61</v>
      </c>
      <c r="E54" s="14">
        <v>1070371</v>
      </c>
      <c r="F54" s="14">
        <v>396395</v>
      </c>
      <c r="G54" s="14">
        <v>-63656</v>
      </c>
      <c r="H54" s="14">
        <v>0</v>
      </c>
      <c r="I54" s="14">
        <v>0</v>
      </c>
      <c r="J54" s="6">
        <f t="shared" si="0"/>
        <v>737632</v>
      </c>
      <c r="K54" s="15">
        <f t="shared" si="1"/>
        <v>799357.04576000001</v>
      </c>
      <c r="L54" s="18">
        <v>12342</v>
      </c>
      <c r="M54" s="15">
        <f t="shared" si="2"/>
        <v>64767.221338518881</v>
      </c>
      <c r="N54" s="18"/>
      <c r="O54" s="14">
        <v>1137096</v>
      </c>
      <c r="P54" s="14">
        <v>416247</v>
      </c>
      <c r="Q54" s="14">
        <v>-70385</v>
      </c>
      <c r="R54" s="14">
        <v>0</v>
      </c>
      <c r="S54" s="14">
        <v>0</v>
      </c>
      <c r="T54" s="16">
        <f t="shared" si="3"/>
        <v>791234</v>
      </c>
      <c r="U54" s="6">
        <v>12357</v>
      </c>
      <c r="V54" s="15">
        <f t="shared" si="4"/>
        <v>64031.237355345154</v>
      </c>
      <c r="W54" s="11" t="s">
        <v>61</v>
      </c>
      <c r="X54" s="17">
        <f t="shared" si="5"/>
        <v>-735.9839831737263</v>
      </c>
      <c r="Y54" s="17">
        <f t="shared" si="6"/>
        <v>-1.0161974305583188</v>
      </c>
      <c r="Z54" s="14">
        <v>1200960</v>
      </c>
      <c r="AA54" s="14">
        <v>447734</v>
      </c>
      <c r="AB54" s="14">
        <v>-81422</v>
      </c>
      <c r="AC54" s="14">
        <v>0</v>
      </c>
      <c r="AD54" s="14">
        <v>0</v>
      </c>
      <c r="AE54" s="16">
        <f t="shared" si="7"/>
        <v>834648</v>
      </c>
      <c r="AF54" s="6">
        <v>12212</v>
      </c>
      <c r="AG54" s="16">
        <f t="shared" si="8"/>
        <v>68346.544382574517</v>
      </c>
      <c r="AH54" s="15">
        <f t="shared" si="9"/>
        <v>4315.3070272293626</v>
      </c>
      <c r="AI54" s="17">
        <f t="shared" si="10"/>
        <v>5.4868724043708905</v>
      </c>
    </row>
    <row r="55" spans="4:35" ht="15.75" x14ac:dyDescent="0.25">
      <c r="D55" s="11" t="s">
        <v>47</v>
      </c>
      <c r="E55" s="14">
        <v>1787068</v>
      </c>
      <c r="F55" s="14">
        <v>526083</v>
      </c>
      <c r="G55" s="14">
        <v>-119058</v>
      </c>
      <c r="H55" s="14">
        <v>0</v>
      </c>
      <c r="I55" s="14">
        <v>0</v>
      </c>
      <c r="J55" s="6">
        <f t="shared" si="0"/>
        <v>1380043</v>
      </c>
      <c r="K55" s="15">
        <f t="shared" si="1"/>
        <v>1495524.9982400001</v>
      </c>
      <c r="L55" s="18">
        <v>29018</v>
      </c>
      <c r="M55" s="15">
        <f t="shared" si="2"/>
        <v>51537.838522296508</v>
      </c>
      <c r="N55" s="18"/>
      <c r="O55" s="14">
        <v>1940617</v>
      </c>
      <c r="P55" s="14">
        <v>574620</v>
      </c>
      <c r="Q55" s="14">
        <v>-125708</v>
      </c>
      <c r="R55" s="14">
        <v>0</v>
      </c>
      <c r="S55" s="14">
        <v>0</v>
      </c>
      <c r="T55" s="16">
        <f t="shared" si="3"/>
        <v>1491705</v>
      </c>
      <c r="U55" s="6">
        <v>29160</v>
      </c>
      <c r="V55" s="15">
        <f t="shared" si="4"/>
        <v>51155.864197530871</v>
      </c>
      <c r="W55" s="11" t="s">
        <v>47</v>
      </c>
      <c r="X55" s="17">
        <f t="shared" si="5"/>
        <v>-381.97432476563699</v>
      </c>
      <c r="Y55" s="17">
        <f t="shared" si="6"/>
        <v>-0.25542857822474785</v>
      </c>
      <c r="Z55" s="14">
        <v>2049789</v>
      </c>
      <c r="AA55" s="14">
        <v>601633</v>
      </c>
      <c r="AB55" s="14">
        <v>-128957</v>
      </c>
      <c r="AC55" s="14">
        <v>0</v>
      </c>
      <c r="AD55" s="14">
        <v>0</v>
      </c>
      <c r="AE55" s="16">
        <f t="shared" si="7"/>
        <v>1577113</v>
      </c>
      <c r="AF55" s="6">
        <v>29528</v>
      </c>
      <c r="AG55" s="16">
        <f t="shared" si="8"/>
        <v>53410.762665944188</v>
      </c>
      <c r="AH55" s="15">
        <f t="shared" si="9"/>
        <v>2254.8984684133175</v>
      </c>
      <c r="AI55" s="17">
        <f t="shared" si="10"/>
        <v>5.7255288411582672</v>
      </c>
    </row>
    <row r="56" spans="4:35" ht="15.75" x14ac:dyDescent="0.25">
      <c r="D56" s="11" t="s">
        <v>78</v>
      </c>
      <c r="E56" s="14">
        <v>1392971</v>
      </c>
      <c r="F56" s="14">
        <v>489752</v>
      </c>
      <c r="G56" s="14">
        <v>-105022</v>
      </c>
      <c r="H56" s="14">
        <v>0</v>
      </c>
      <c r="I56" s="14">
        <v>0</v>
      </c>
      <c r="J56" s="6">
        <f t="shared" si="0"/>
        <v>1008241</v>
      </c>
      <c r="K56" s="15">
        <f t="shared" si="1"/>
        <v>1092610.6068800001</v>
      </c>
      <c r="L56" s="18">
        <v>19354</v>
      </c>
      <c r="M56" s="15">
        <f t="shared" si="2"/>
        <v>56453.994361889025</v>
      </c>
      <c r="N56" s="18"/>
      <c r="O56" s="14">
        <v>1458668</v>
      </c>
      <c r="P56" s="14">
        <v>533313</v>
      </c>
      <c r="Q56" s="14">
        <v>-113056</v>
      </c>
      <c r="R56" s="14">
        <v>0</v>
      </c>
      <c r="S56" s="14">
        <v>0</v>
      </c>
      <c r="T56" s="16">
        <f t="shared" si="3"/>
        <v>1038411</v>
      </c>
      <c r="U56" s="6">
        <v>19238</v>
      </c>
      <c r="V56" s="15">
        <f t="shared" si="4"/>
        <v>53977.07661919119</v>
      </c>
      <c r="W56" s="11" t="s">
        <v>78</v>
      </c>
      <c r="X56" s="17">
        <f t="shared" si="5"/>
        <v>-2476.9177426978349</v>
      </c>
      <c r="Y56" s="17">
        <f t="shared" si="6"/>
        <v>-4.9605601976324909</v>
      </c>
      <c r="Z56" s="14">
        <v>1526246</v>
      </c>
      <c r="AA56" s="14">
        <v>564795</v>
      </c>
      <c r="AB56" s="14">
        <v>-106021</v>
      </c>
      <c r="AC56" s="14">
        <v>0</v>
      </c>
      <c r="AD56" s="14">
        <v>0</v>
      </c>
      <c r="AE56" s="16">
        <f t="shared" si="7"/>
        <v>1067472</v>
      </c>
      <c r="AF56" s="6">
        <v>18966</v>
      </c>
      <c r="AG56" s="16">
        <f t="shared" si="8"/>
        <v>56283.454602973739</v>
      </c>
      <c r="AH56" s="15">
        <f t="shared" si="9"/>
        <v>2306.3779837825496</v>
      </c>
      <c r="AI56" s="17">
        <f t="shared" si="10"/>
        <v>2.798602865339439</v>
      </c>
    </row>
    <row r="57" spans="4:35" ht="15.75" x14ac:dyDescent="0.25">
      <c r="D57" s="11" t="s">
        <v>48</v>
      </c>
      <c r="E57" s="14">
        <v>3775549</v>
      </c>
      <c r="F57" s="14">
        <v>1405642</v>
      </c>
      <c r="G57" s="14">
        <v>-210893</v>
      </c>
      <c r="H57" s="14">
        <v>0</v>
      </c>
      <c r="I57" s="14">
        <v>154</v>
      </c>
      <c r="J57" s="6">
        <f t="shared" si="0"/>
        <v>2580646</v>
      </c>
      <c r="K57" s="15">
        <f t="shared" si="1"/>
        <v>2796594.4572800002</v>
      </c>
      <c r="L57" s="18">
        <v>40004</v>
      </c>
      <c r="M57" s="15">
        <f t="shared" si="2"/>
        <v>69907.870644935509</v>
      </c>
      <c r="N57" s="18"/>
      <c r="O57" s="14">
        <v>3996236</v>
      </c>
      <c r="P57" s="14">
        <v>1523256</v>
      </c>
      <c r="Q57" s="14">
        <v>-254663</v>
      </c>
      <c r="R57" s="14">
        <v>0</v>
      </c>
      <c r="S57" s="14">
        <v>161</v>
      </c>
      <c r="T57" s="16">
        <f t="shared" si="3"/>
        <v>2727482</v>
      </c>
      <c r="U57" s="6">
        <v>39640</v>
      </c>
      <c r="V57" s="15">
        <f t="shared" si="4"/>
        <v>68806.306760847627</v>
      </c>
      <c r="W57" s="11" t="s">
        <v>48</v>
      </c>
      <c r="X57" s="17">
        <f t="shared" si="5"/>
        <v>-1101.5638840878819</v>
      </c>
      <c r="Y57" s="17">
        <f t="shared" si="6"/>
        <v>-2.4713078115451759</v>
      </c>
      <c r="Z57" s="14">
        <v>4161508</v>
      </c>
      <c r="AA57" s="14">
        <v>1577481</v>
      </c>
      <c r="AB57" s="14">
        <v>-267302</v>
      </c>
      <c r="AC57" s="14">
        <v>0</v>
      </c>
      <c r="AD57" s="14">
        <v>169</v>
      </c>
      <c r="AE57" s="16">
        <f t="shared" si="7"/>
        <v>2851160</v>
      </c>
      <c r="AF57" s="6">
        <v>39343</v>
      </c>
      <c r="AG57" s="16">
        <f t="shared" si="8"/>
        <v>72469.308390310864</v>
      </c>
      <c r="AH57" s="15">
        <f t="shared" si="9"/>
        <v>3663.0016294632369</v>
      </c>
      <c r="AI57" s="17">
        <f t="shared" si="10"/>
        <v>4.5345120517752191</v>
      </c>
    </row>
    <row r="58" spans="4:35" ht="15.75" x14ac:dyDescent="0.25">
      <c r="D58" s="11" t="s">
        <v>19</v>
      </c>
      <c r="E58" s="14">
        <v>3769793</v>
      </c>
      <c r="F58" s="14">
        <v>898934</v>
      </c>
      <c r="G58" s="14">
        <v>-157591</v>
      </c>
      <c r="H58" s="14">
        <v>0</v>
      </c>
      <c r="I58" s="14">
        <v>0</v>
      </c>
      <c r="J58" s="6">
        <f t="shared" si="0"/>
        <v>3028450</v>
      </c>
      <c r="K58" s="15">
        <f t="shared" si="1"/>
        <v>3281870.696</v>
      </c>
      <c r="L58" s="18">
        <v>58294</v>
      </c>
      <c r="M58" s="15">
        <f t="shared" si="2"/>
        <v>56298.60184581604</v>
      </c>
      <c r="N58" s="18"/>
      <c r="O58" s="14">
        <v>3986247</v>
      </c>
      <c r="P58" s="14">
        <v>950112</v>
      </c>
      <c r="Q58" s="14">
        <v>-166668</v>
      </c>
      <c r="R58" s="14">
        <v>0</v>
      </c>
      <c r="S58" s="14">
        <v>0</v>
      </c>
      <c r="T58" s="16">
        <f t="shared" si="3"/>
        <v>3202803</v>
      </c>
      <c r="U58" s="6">
        <v>58733</v>
      </c>
      <c r="V58" s="15">
        <f t="shared" si="4"/>
        <v>54531.575094069769</v>
      </c>
      <c r="W58" s="11" t="s">
        <v>19</v>
      </c>
      <c r="X58" s="17">
        <f t="shared" si="5"/>
        <v>-1767.0267517462707</v>
      </c>
      <c r="Y58" s="17">
        <f t="shared" si="6"/>
        <v>-2.4092264237091654</v>
      </c>
      <c r="Z58" s="14">
        <v>4186648</v>
      </c>
      <c r="AA58" s="14">
        <v>1016967</v>
      </c>
      <c r="AB58" s="14">
        <v>-182098</v>
      </c>
      <c r="AC58" s="14">
        <v>0</v>
      </c>
      <c r="AD58" s="14">
        <v>0</v>
      </c>
      <c r="AE58" s="16">
        <f t="shared" si="7"/>
        <v>3351779</v>
      </c>
      <c r="AF58" s="6">
        <v>58800</v>
      </c>
      <c r="AG58" s="16">
        <f t="shared" si="8"/>
        <v>57003.044217687078</v>
      </c>
      <c r="AH58" s="15">
        <f t="shared" si="9"/>
        <v>2471.4691236173094</v>
      </c>
      <c r="AI58" s="17">
        <f t="shared" si="10"/>
        <v>4.6514256418518363</v>
      </c>
    </row>
    <row r="59" spans="4:35" ht="15.75" x14ac:dyDescent="0.25">
      <c r="D59" s="11" t="s">
        <v>99</v>
      </c>
      <c r="E59" s="14">
        <v>184202</v>
      </c>
      <c r="F59" s="14">
        <v>40180</v>
      </c>
      <c r="G59" s="14">
        <v>-6262</v>
      </c>
      <c r="H59" s="14">
        <v>0</v>
      </c>
      <c r="I59" s="14">
        <v>0</v>
      </c>
      <c r="J59" s="6">
        <f t="shared" si="0"/>
        <v>150284</v>
      </c>
      <c r="K59" s="15">
        <f t="shared" si="1"/>
        <v>162859.76512000003</v>
      </c>
      <c r="L59" s="18">
        <v>1767</v>
      </c>
      <c r="M59" s="15">
        <f t="shared" si="2"/>
        <v>92167.382637238275</v>
      </c>
      <c r="N59" s="18"/>
      <c r="O59" s="14">
        <v>189874</v>
      </c>
      <c r="P59" s="14">
        <v>41504</v>
      </c>
      <c r="Q59" s="14">
        <v>-6688</v>
      </c>
      <c r="R59" s="14">
        <v>0</v>
      </c>
      <c r="S59" s="14">
        <v>0</v>
      </c>
      <c r="T59" s="16">
        <f t="shared" si="3"/>
        <v>155058</v>
      </c>
      <c r="U59" s="6">
        <v>1774</v>
      </c>
      <c r="V59" s="15">
        <f t="shared" si="4"/>
        <v>87405.862457722658</v>
      </c>
      <c r="W59" s="11" t="s">
        <v>99</v>
      </c>
      <c r="X59" s="17">
        <f t="shared" si="5"/>
        <v>-4761.5201795156172</v>
      </c>
      <c r="Y59" s="17">
        <f t="shared" si="6"/>
        <v>-4.7904803953582098</v>
      </c>
      <c r="Z59" s="14">
        <v>204384</v>
      </c>
      <c r="AA59" s="14">
        <v>43697</v>
      </c>
      <c r="AB59" s="14">
        <v>-7115</v>
      </c>
      <c r="AC59" s="14">
        <v>0</v>
      </c>
      <c r="AD59" s="14">
        <v>0</v>
      </c>
      <c r="AE59" s="16">
        <f t="shared" si="7"/>
        <v>167802</v>
      </c>
      <c r="AF59" s="6">
        <v>1749</v>
      </c>
      <c r="AG59" s="16">
        <f t="shared" si="8"/>
        <v>95941.680960548882</v>
      </c>
      <c r="AH59" s="15">
        <f t="shared" si="9"/>
        <v>8535.8185028262233</v>
      </c>
      <c r="AI59" s="17">
        <f t="shared" si="10"/>
        <v>8.2188600394690994</v>
      </c>
    </row>
    <row r="60" spans="4:35" ht="15.75" x14ac:dyDescent="0.25">
      <c r="D60" s="11" t="s">
        <v>101</v>
      </c>
      <c r="E60" s="14">
        <v>2866064</v>
      </c>
      <c r="F60" s="14">
        <v>1026167</v>
      </c>
      <c r="G60" s="14">
        <v>-211550</v>
      </c>
      <c r="H60" s="14">
        <v>0</v>
      </c>
      <c r="I60" s="14">
        <v>0</v>
      </c>
      <c r="J60" s="6">
        <f t="shared" si="0"/>
        <v>2051447</v>
      </c>
      <c r="K60" s="15">
        <f t="shared" si="1"/>
        <v>2223112.0849600001</v>
      </c>
      <c r="L60" s="18">
        <v>41828</v>
      </c>
      <c r="M60" s="15">
        <f t="shared" si="2"/>
        <v>53148.897507889458</v>
      </c>
      <c r="N60" s="18"/>
      <c r="O60" s="14">
        <v>3094989</v>
      </c>
      <c r="P60" s="14">
        <v>1126570</v>
      </c>
      <c r="Q60" s="14">
        <v>-220097</v>
      </c>
      <c r="R60" s="14">
        <v>0</v>
      </c>
      <c r="S60" s="14">
        <v>0</v>
      </c>
      <c r="T60" s="16">
        <f t="shared" si="3"/>
        <v>2188516</v>
      </c>
      <c r="U60" s="6">
        <v>41815</v>
      </c>
      <c r="V60" s="15">
        <f t="shared" si="4"/>
        <v>52338.060504603614</v>
      </c>
      <c r="W60" s="11" t="s">
        <v>101</v>
      </c>
      <c r="X60" s="17">
        <f t="shared" si="5"/>
        <v>-810.83700328584382</v>
      </c>
      <c r="Y60" s="17">
        <f t="shared" si="6"/>
        <v>-1.5562006609586954</v>
      </c>
      <c r="Z60" s="14">
        <v>3268406</v>
      </c>
      <c r="AA60" s="14">
        <v>1192156</v>
      </c>
      <c r="AB60" s="14">
        <v>-227729</v>
      </c>
      <c r="AC60" s="14">
        <v>0</v>
      </c>
      <c r="AD60" s="14">
        <v>0</v>
      </c>
      <c r="AE60" s="16">
        <f t="shared" si="7"/>
        <v>2303979</v>
      </c>
      <c r="AF60" s="6">
        <v>41720</v>
      </c>
      <c r="AG60" s="16">
        <f t="shared" si="8"/>
        <v>55224.808245445827</v>
      </c>
      <c r="AH60" s="15">
        <f t="shared" si="9"/>
        <v>2886.7477408422128</v>
      </c>
      <c r="AI60" s="17">
        <f t="shared" si="10"/>
        <v>5.2758581614207989</v>
      </c>
    </row>
    <row r="61" spans="4:35" ht="15.75" x14ac:dyDescent="0.25">
      <c r="D61" s="11" t="s">
        <v>53</v>
      </c>
      <c r="E61" s="14">
        <v>2530708</v>
      </c>
      <c r="F61" s="14">
        <v>891956</v>
      </c>
      <c r="G61" s="14">
        <v>-170457</v>
      </c>
      <c r="H61" s="14">
        <v>0</v>
      </c>
      <c r="I61" s="14">
        <v>0</v>
      </c>
      <c r="J61" s="6">
        <f t="shared" si="0"/>
        <v>1809209</v>
      </c>
      <c r="K61" s="15">
        <f t="shared" si="1"/>
        <v>1960603.6091200002</v>
      </c>
      <c r="L61" s="18">
        <v>40163</v>
      </c>
      <c r="M61" s="15">
        <f t="shared" si="2"/>
        <v>48816.164358240174</v>
      </c>
      <c r="N61" s="18"/>
      <c r="O61" s="14">
        <v>2714941</v>
      </c>
      <c r="P61" s="14">
        <v>944906</v>
      </c>
      <c r="Q61" s="14">
        <v>-180666</v>
      </c>
      <c r="R61" s="14">
        <v>0</v>
      </c>
      <c r="S61" s="14">
        <v>0</v>
      </c>
      <c r="T61" s="16">
        <f t="shared" si="3"/>
        <v>1950701</v>
      </c>
      <c r="U61" s="6">
        <v>40274</v>
      </c>
      <c r="V61" s="15">
        <f t="shared" si="4"/>
        <v>48435.740179768589</v>
      </c>
      <c r="W61" s="11" t="s">
        <v>53</v>
      </c>
      <c r="X61" s="17">
        <f t="shared" si="5"/>
        <v>-380.42417847158504</v>
      </c>
      <c r="Y61" s="17">
        <f t="shared" si="6"/>
        <v>-0.50507961292822756</v>
      </c>
      <c r="Z61" s="14">
        <v>2909599</v>
      </c>
      <c r="AA61" s="14">
        <v>1001760</v>
      </c>
      <c r="AB61" s="14">
        <v>-185271</v>
      </c>
      <c r="AC61" s="14">
        <v>0</v>
      </c>
      <c r="AD61" s="14">
        <v>0</v>
      </c>
      <c r="AE61" s="16">
        <f t="shared" si="7"/>
        <v>2093110</v>
      </c>
      <c r="AF61" s="6">
        <v>40402</v>
      </c>
      <c r="AG61" s="16">
        <f t="shared" si="8"/>
        <v>51807.088757982281</v>
      </c>
      <c r="AH61" s="15">
        <f t="shared" si="9"/>
        <v>3371.3485782136922</v>
      </c>
      <c r="AI61" s="17">
        <f t="shared" si="10"/>
        <v>7.3004012403746099</v>
      </c>
    </row>
    <row r="62" spans="4:35" ht="15.75" x14ac:dyDescent="0.25">
      <c r="D62" s="11" t="s">
        <v>92</v>
      </c>
      <c r="E62" s="14">
        <v>1546947</v>
      </c>
      <c r="F62" s="14">
        <v>563950</v>
      </c>
      <c r="G62" s="14">
        <v>-100520</v>
      </c>
      <c r="H62" s="14">
        <v>0</v>
      </c>
      <c r="I62" s="14">
        <v>0</v>
      </c>
      <c r="J62" s="6">
        <f t="shared" si="0"/>
        <v>1083517</v>
      </c>
      <c r="K62" s="15">
        <f t="shared" si="1"/>
        <v>1174185.7025600001</v>
      </c>
      <c r="L62" s="18">
        <v>20109</v>
      </c>
      <c r="M62" s="15">
        <f t="shared" si="2"/>
        <v>58391.053884330402</v>
      </c>
      <c r="N62" s="18"/>
      <c r="O62" s="14">
        <v>1646680</v>
      </c>
      <c r="P62" s="14">
        <v>598929</v>
      </c>
      <c r="Q62" s="14">
        <v>-99980</v>
      </c>
      <c r="R62" s="14">
        <v>0</v>
      </c>
      <c r="S62" s="14">
        <v>0</v>
      </c>
      <c r="T62" s="16">
        <f t="shared" si="3"/>
        <v>1147731</v>
      </c>
      <c r="U62" s="6">
        <v>19824</v>
      </c>
      <c r="V62" s="15">
        <f t="shared" si="4"/>
        <v>57896.035108958837</v>
      </c>
      <c r="W62" s="11" t="s">
        <v>92</v>
      </c>
      <c r="X62" s="17">
        <f t="shared" si="5"/>
        <v>-495.01877537156543</v>
      </c>
      <c r="Y62" s="17">
        <f t="shared" si="6"/>
        <v>-2.2530254373156366</v>
      </c>
      <c r="Z62" s="14">
        <v>1725430</v>
      </c>
      <c r="AA62" s="14">
        <v>618974</v>
      </c>
      <c r="AB62" s="14">
        <v>-103214</v>
      </c>
      <c r="AC62" s="14">
        <v>0</v>
      </c>
      <c r="AD62" s="14">
        <v>0</v>
      </c>
      <c r="AE62" s="16">
        <f t="shared" si="7"/>
        <v>1209670</v>
      </c>
      <c r="AF62" s="6">
        <v>19617</v>
      </c>
      <c r="AG62" s="16">
        <f t="shared" si="8"/>
        <v>61664.372737931386</v>
      </c>
      <c r="AH62" s="15">
        <f t="shared" si="9"/>
        <v>3768.3376289725493</v>
      </c>
      <c r="AI62" s="17">
        <f t="shared" si="10"/>
        <v>5.3966478207872814</v>
      </c>
    </row>
    <row r="63" spans="4:35" ht="15.75" x14ac:dyDescent="0.25">
      <c r="D63" s="11" t="s">
        <v>81</v>
      </c>
      <c r="E63" s="14">
        <v>2751280</v>
      </c>
      <c r="F63" s="14">
        <v>1027768</v>
      </c>
      <c r="G63" s="14">
        <v>-198790</v>
      </c>
      <c r="H63" s="14">
        <v>0</v>
      </c>
      <c r="I63" s="14">
        <v>0</v>
      </c>
      <c r="J63" s="6">
        <f t="shared" si="0"/>
        <v>1922302</v>
      </c>
      <c r="K63" s="15">
        <f t="shared" si="1"/>
        <v>2083160.2313600001</v>
      </c>
      <c r="L63" s="18">
        <v>36940</v>
      </c>
      <c r="M63" s="15">
        <f t="shared" si="2"/>
        <v>56393.076106118031</v>
      </c>
      <c r="N63" s="18"/>
      <c r="O63" s="14">
        <v>2958556</v>
      </c>
      <c r="P63" s="14">
        <v>1134737</v>
      </c>
      <c r="Q63" s="14">
        <v>-210050</v>
      </c>
      <c r="R63" s="14">
        <v>0</v>
      </c>
      <c r="S63" s="14">
        <v>0</v>
      </c>
      <c r="T63" s="16">
        <f t="shared" si="3"/>
        <v>2033869</v>
      </c>
      <c r="U63" s="6">
        <v>36874</v>
      </c>
      <c r="V63" s="15">
        <f t="shared" si="4"/>
        <v>55157.265281770349</v>
      </c>
      <c r="W63" s="11" t="s">
        <v>81</v>
      </c>
      <c r="X63" s="17">
        <f t="shared" si="5"/>
        <v>-1235.8108243476818</v>
      </c>
      <c r="Y63" s="17">
        <f t="shared" si="6"/>
        <v>-2.3661757083284995</v>
      </c>
      <c r="Z63" s="14">
        <v>3104646</v>
      </c>
      <c r="AA63" s="14">
        <v>1159404</v>
      </c>
      <c r="AB63" s="14">
        <v>-212345</v>
      </c>
      <c r="AC63" s="14">
        <v>0</v>
      </c>
      <c r="AD63" s="14">
        <v>0</v>
      </c>
      <c r="AE63" s="16">
        <f t="shared" si="7"/>
        <v>2157587</v>
      </c>
      <c r="AF63" s="6">
        <v>36760</v>
      </c>
      <c r="AG63" s="16">
        <f t="shared" si="8"/>
        <v>58693.879216539717</v>
      </c>
      <c r="AH63" s="15">
        <f t="shared" si="9"/>
        <v>3536.6139347693679</v>
      </c>
      <c r="AI63" s="17">
        <f t="shared" si="10"/>
        <v>6.0828893109634796</v>
      </c>
    </row>
    <row r="64" spans="4:35" ht="15.75" x14ac:dyDescent="0.25">
      <c r="D64" s="11" t="s">
        <v>60</v>
      </c>
      <c r="E64" s="14">
        <v>2087641</v>
      </c>
      <c r="F64" s="14">
        <v>767853</v>
      </c>
      <c r="G64" s="14">
        <v>-144134</v>
      </c>
      <c r="H64" s="14">
        <v>0</v>
      </c>
      <c r="I64" s="14">
        <v>0</v>
      </c>
      <c r="J64" s="6">
        <f t="shared" si="0"/>
        <v>1463922</v>
      </c>
      <c r="K64" s="15">
        <f t="shared" si="1"/>
        <v>1586422.9929600002</v>
      </c>
      <c r="L64" s="18">
        <v>29929</v>
      </c>
      <c r="M64" s="15">
        <f t="shared" si="2"/>
        <v>53006.214472919244</v>
      </c>
      <c r="N64" s="18"/>
      <c r="O64" s="14">
        <v>2226677</v>
      </c>
      <c r="P64" s="14">
        <v>830010</v>
      </c>
      <c r="Q64" s="14">
        <v>-151091</v>
      </c>
      <c r="R64" s="14">
        <v>0</v>
      </c>
      <c r="S64" s="14">
        <v>0</v>
      </c>
      <c r="T64" s="16">
        <f t="shared" si="3"/>
        <v>1547758</v>
      </c>
      <c r="U64" s="6">
        <v>29768</v>
      </c>
      <c r="V64" s="15">
        <f t="shared" si="4"/>
        <v>51994.02042461704</v>
      </c>
      <c r="W64" s="11" t="s">
        <v>60</v>
      </c>
      <c r="X64" s="17">
        <f t="shared" si="5"/>
        <v>-1012.1940483022045</v>
      </c>
      <c r="Y64" s="17">
        <f t="shared" si="6"/>
        <v>-2.4372436059980296</v>
      </c>
      <c r="Z64" s="14">
        <v>2345889</v>
      </c>
      <c r="AA64" s="14">
        <v>860164</v>
      </c>
      <c r="AB64" s="14">
        <v>-164486</v>
      </c>
      <c r="AC64" s="14">
        <v>0</v>
      </c>
      <c r="AD64" s="14">
        <v>0</v>
      </c>
      <c r="AE64" s="16">
        <f t="shared" si="7"/>
        <v>1650211</v>
      </c>
      <c r="AF64" s="6">
        <v>29584</v>
      </c>
      <c r="AG64" s="16">
        <f t="shared" si="8"/>
        <v>55780.523255813954</v>
      </c>
      <c r="AH64" s="15">
        <f t="shared" si="9"/>
        <v>3786.5028311969145</v>
      </c>
      <c r="AI64" s="17">
        <f t="shared" si="10"/>
        <v>6.6194456756159648</v>
      </c>
    </row>
    <row r="65" spans="4:35" ht="15.75" x14ac:dyDescent="0.25">
      <c r="D65" s="11" t="s">
        <v>57</v>
      </c>
      <c r="E65" s="14">
        <v>2351917</v>
      </c>
      <c r="F65" s="14">
        <v>844767</v>
      </c>
      <c r="G65" s="14">
        <v>-141922</v>
      </c>
      <c r="H65" s="14">
        <v>0</v>
      </c>
      <c r="I65" s="14">
        <v>943</v>
      </c>
      <c r="J65" s="6">
        <f t="shared" si="0"/>
        <v>1648129</v>
      </c>
      <c r="K65" s="15">
        <f t="shared" si="1"/>
        <v>1786044.43472</v>
      </c>
      <c r="L65" s="18">
        <v>32298</v>
      </c>
      <c r="M65" s="15">
        <f t="shared" si="2"/>
        <v>55298.917416558303</v>
      </c>
      <c r="N65" s="18"/>
      <c r="O65" s="14">
        <v>2506651</v>
      </c>
      <c r="P65" s="14">
        <v>910757</v>
      </c>
      <c r="Q65" s="14">
        <v>-148497</v>
      </c>
      <c r="R65" s="14">
        <v>0</v>
      </c>
      <c r="S65" s="14">
        <v>981</v>
      </c>
      <c r="T65" s="16">
        <f t="shared" si="3"/>
        <v>1743410</v>
      </c>
      <c r="U65" s="6">
        <v>32314</v>
      </c>
      <c r="V65" s="15">
        <f t="shared" si="4"/>
        <v>53952.156959831656</v>
      </c>
      <c r="W65" s="11" t="s">
        <v>57</v>
      </c>
      <c r="X65" s="17">
        <f t="shared" si="5"/>
        <v>-1346.7604567266462</v>
      </c>
      <c r="Y65" s="17">
        <f t="shared" si="6"/>
        <v>-2.3870870114541032</v>
      </c>
      <c r="Z65" s="14">
        <v>2650665</v>
      </c>
      <c r="AA65" s="14">
        <v>980478</v>
      </c>
      <c r="AB65" s="14">
        <v>-167485</v>
      </c>
      <c r="AC65" s="14">
        <v>0</v>
      </c>
      <c r="AD65" s="14">
        <v>737</v>
      </c>
      <c r="AE65" s="16">
        <f t="shared" si="7"/>
        <v>1836935</v>
      </c>
      <c r="AF65" s="6">
        <v>32216</v>
      </c>
      <c r="AG65" s="16">
        <f t="shared" si="8"/>
        <v>57019.338217035016</v>
      </c>
      <c r="AH65" s="15">
        <f t="shared" si="9"/>
        <v>3067.1812572033596</v>
      </c>
      <c r="AI65" s="17">
        <f t="shared" si="10"/>
        <v>5.3644868390108957</v>
      </c>
    </row>
    <row r="66" spans="4:35" ht="15.75" x14ac:dyDescent="0.25">
      <c r="D66" s="11" t="s">
        <v>49</v>
      </c>
      <c r="E66" s="14">
        <v>5631357</v>
      </c>
      <c r="F66" s="14">
        <v>2082088</v>
      </c>
      <c r="G66" s="14">
        <v>-376174</v>
      </c>
      <c r="H66" s="14">
        <v>0</v>
      </c>
      <c r="I66" s="14">
        <v>222</v>
      </c>
      <c r="J66" s="6">
        <f t="shared" si="0"/>
        <v>3925221</v>
      </c>
      <c r="K66" s="15">
        <f t="shared" si="1"/>
        <v>4253683.4932800001</v>
      </c>
      <c r="L66" s="18">
        <v>84386</v>
      </c>
      <c r="M66" s="15">
        <f t="shared" si="2"/>
        <v>50407.454948451166</v>
      </c>
      <c r="N66" s="18"/>
      <c r="O66" s="14">
        <v>6037430</v>
      </c>
      <c r="P66" s="14">
        <v>2263950</v>
      </c>
      <c r="Q66" s="14">
        <v>-410780</v>
      </c>
      <c r="R66" s="14">
        <v>0</v>
      </c>
      <c r="S66" s="14">
        <v>235</v>
      </c>
      <c r="T66" s="16">
        <f t="shared" si="3"/>
        <v>4184025</v>
      </c>
      <c r="U66" s="6">
        <v>84842</v>
      </c>
      <c r="V66" s="15">
        <f t="shared" si="4"/>
        <v>49315.492326913554</v>
      </c>
      <c r="W66" s="11" t="s">
        <v>49</v>
      </c>
      <c r="X66" s="17">
        <f t="shared" si="5"/>
        <v>-1091.962621537612</v>
      </c>
      <c r="Y66" s="17">
        <f t="shared" si="6"/>
        <v>-1.6376040528179203</v>
      </c>
      <c r="Z66" s="14">
        <v>6364666</v>
      </c>
      <c r="AA66" s="14">
        <v>2341213</v>
      </c>
      <c r="AB66" s="14">
        <v>-435057</v>
      </c>
      <c r="AC66" s="14">
        <v>0</v>
      </c>
      <c r="AD66" s="14">
        <v>246</v>
      </c>
      <c r="AE66" s="16">
        <f t="shared" si="7"/>
        <v>4458264</v>
      </c>
      <c r="AF66" s="6">
        <v>84964</v>
      </c>
      <c r="AG66" s="16">
        <f t="shared" si="8"/>
        <v>52472.38830563533</v>
      </c>
      <c r="AH66" s="15">
        <f t="shared" si="9"/>
        <v>3156.8959787217755</v>
      </c>
      <c r="AI66" s="17">
        <f t="shared" si="10"/>
        <v>6.554430243605136</v>
      </c>
    </row>
    <row r="67" spans="4:35" ht="15.75" x14ac:dyDescent="0.25">
      <c r="D67" s="11" t="s">
        <v>83</v>
      </c>
      <c r="E67" s="14">
        <v>1503219</v>
      </c>
      <c r="F67" s="14">
        <v>533281</v>
      </c>
      <c r="G67" s="14">
        <v>-111072</v>
      </c>
      <c r="H67" s="14">
        <v>0</v>
      </c>
      <c r="I67" s="14">
        <v>0</v>
      </c>
      <c r="J67" s="6">
        <f t="shared" si="0"/>
        <v>1081010</v>
      </c>
      <c r="K67" s="15">
        <f t="shared" si="1"/>
        <v>1171468.9168</v>
      </c>
      <c r="L67" s="18">
        <v>23583</v>
      </c>
      <c r="M67" s="15">
        <f t="shared" si="2"/>
        <v>49674.295755417035</v>
      </c>
      <c r="N67" s="18"/>
      <c r="O67" s="14">
        <v>1595063</v>
      </c>
      <c r="P67" s="14">
        <v>576329</v>
      </c>
      <c r="Q67" s="14">
        <v>-116733</v>
      </c>
      <c r="R67" s="14">
        <v>0</v>
      </c>
      <c r="S67" s="14">
        <v>0</v>
      </c>
      <c r="T67" s="16">
        <f t="shared" si="3"/>
        <v>1135467</v>
      </c>
      <c r="U67" s="6">
        <v>23822</v>
      </c>
      <c r="V67" s="15">
        <f t="shared" si="4"/>
        <v>47664.63772982957</v>
      </c>
      <c r="W67" s="11" t="s">
        <v>83</v>
      </c>
      <c r="X67" s="17">
        <f t="shared" si="5"/>
        <v>-2009.6580255874651</v>
      </c>
      <c r="Y67" s="17">
        <f t="shared" si="6"/>
        <v>-3.073228515387616</v>
      </c>
      <c r="Z67" s="14">
        <v>1712666</v>
      </c>
      <c r="AA67" s="14">
        <v>607664</v>
      </c>
      <c r="AB67" s="14">
        <v>-118574</v>
      </c>
      <c r="AC67" s="14">
        <v>0</v>
      </c>
      <c r="AD67" s="14">
        <v>0</v>
      </c>
      <c r="AE67" s="16">
        <f t="shared" si="7"/>
        <v>1223576</v>
      </c>
      <c r="AF67" s="6">
        <v>24079</v>
      </c>
      <c r="AG67" s="16">
        <f t="shared" si="8"/>
        <v>50815.067070891651</v>
      </c>
      <c r="AH67" s="15">
        <f t="shared" si="9"/>
        <v>3150.4293410620812</v>
      </c>
      <c r="AI67" s="17">
        <f t="shared" si="10"/>
        <v>7.7597147253068544</v>
      </c>
    </row>
    <row r="68" spans="4:35" ht="15.75" x14ac:dyDescent="0.25">
      <c r="D68" s="11" t="s">
        <v>58</v>
      </c>
      <c r="E68" s="14">
        <v>13922651</v>
      </c>
      <c r="F68" s="14">
        <v>5772912</v>
      </c>
      <c r="G68" s="14">
        <v>-1170496</v>
      </c>
      <c r="H68" s="14">
        <v>0</v>
      </c>
      <c r="I68" s="14">
        <v>15730</v>
      </c>
      <c r="J68" s="6">
        <f t="shared" ref="J68:J102" si="11">E68-(F68+G68)-H68-I68</f>
        <v>9304505</v>
      </c>
      <c r="K68" s="15">
        <f t="shared" si="1"/>
        <v>10083105.978400001</v>
      </c>
      <c r="L68" s="18">
        <v>207697</v>
      </c>
      <c r="M68" s="15">
        <f t="shared" si="2"/>
        <v>48547.19123723502</v>
      </c>
      <c r="N68" s="18"/>
      <c r="O68" s="14">
        <v>14895278</v>
      </c>
      <c r="P68" s="14">
        <v>6197929</v>
      </c>
      <c r="Q68" s="14">
        <v>-1127908</v>
      </c>
      <c r="R68" s="14">
        <v>0</v>
      </c>
      <c r="S68" s="14">
        <v>16753</v>
      </c>
      <c r="T68" s="16">
        <f t="shared" si="3"/>
        <v>9808504</v>
      </c>
      <c r="U68" s="6">
        <v>208478</v>
      </c>
      <c r="V68" s="15">
        <f t="shared" si="4"/>
        <v>47048.148965358458</v>
      </c>
      <c r="W68" s="11" t="s">
        <v>58</v>
      </c>
      <c r="X68" s="17">
        <f t="shared" si="5"/>
        <v>-1499.0422718765622</v>
      </c>
      <c r="Y68" s="17">
        <f t="shared" si="6"/>
        <v>-2.7233868114473148</v>
      </c>
      <c r="Z68" s="14">
        <v>15756152</v>
      </c>
      <c r="AA68" s="14">
        <v>6418261</v>
      </c>
      <c r="AB68" s="14">
        <v>-1116112</v>
      </c>
      <c r="AC68" s="14">
        <v>0</v>
      </c>
      <c r="AD68" s="14">
        <v>28108</v>
      </c>
      <c r="AE68" s="16">
        <f t="shared" si="7"/>
        <v>10425895</v>
      </c>
      <c r="AF68" s="6">
        <v>209960</v>
      </c>
      <c r="AG68" s="16">
        <f t="shared" si="8"/>
        <v>49656.577443322538</v>
      </c>
      <c r="AH68" s="15">
        <f t="shared" si="9"/>
        <v>2608.4284779640802</v>
      </c>
      <c r="AI68" s="17">
        <f t="shared" si="10"/>
        <v>6.2944461255253659</v>
      </c>
    </row>
    <row r="69" spans="4:35" ht="15.75" x14ac:dyDescent="0.25">
      <c r="D69" s="11" t="s">
        <v>39</v>
      </c>
      <c r="E69" s="14">
        <v>2538692</v>
      </c>
      <c r="F69" s="14">
        <v>965969</v>
      </c>
      <c r="G69" s="14">
        <v>-178301</v>
      </c>
      <c r="H69" s="14">
        <v>0</v>
      </c>
      <c r="I69" s="14">
        <v>34</v>
      </c>
      <c r="J69" s="6">
        <f t="shared" si="11"/>
        <v>1750990</v>
      </c>
      <c r="K69" s="15">
        <f t="shared" ref="K69:K102" si="12">+J69*1.042*1.04</f>
        <v>1897512.8432000002</v>
      </c>
      <c r="L69" s="18">
        <v>33035</v>
      </c>
      <c r="M69" s="15">
        <f t="shared" ref="M69:M102" si="13">+K69/L69*1000</f>
        <v>57439.468539427886</v>
      </c>
      <c r="N69" s="18"/>
      <c r="O69" s="14">
        <v>2714954</v>
      </c>
      <c r="P69" s="14">
        <v>1021573</v>
      </c>
      <c r="Q69" s="14">
        <v>-185063</v>
      </c>
      <c r="R69" s="14">
        <v>0</v>
      </c>
      <c r="S69" s="14">
        <v>35</v>
      </c>
      <c r="T69" s="16">
        <f t="shared" ref="T69:T102" si="14">(O69-(P69+Q69)-R69-S69)</f>
        <v>1878409</v>
      </c>
      <c r="U69" s="6">
        <v>32958</v>
      </c>
      <c r="V69" s="15">
        <f t="shared" ref="V69:V102" si="15">+T69/U69*1000</f>
        <v>56994.02269555191</v>
      </c>
      <c r="W69" s="11" t="s">
        <v>39</v>
      </c>
      <c r="X69" s="17">
        <f t="shared" ref="X69:X102" si="16">+V69-M69</f>
        <v>-445.4458438759757</v>
      </c>
      <c r="Y69" s="17">
        <f t="shared" ref="Y69:Y102" si="17">+(T69/K69-1)*100</f>
        <v>-1.0067833410699389</v>
      </c>
      <c r="Z69" s="14">
        <v>2866961</v>
      </c>
      <c r="AA69" s="14">
        <v>1086094</v>
      </c>
      <c r="AB69" s="14">
        <v>-194226</v>
      </c>
      <c r="AC69" s="14">
        <v>0</v>
      </c>
      <c r="AD69" s="14">
        <v>37</v>
      </c>
      <c r="AE69" s="16">
        <f t="shared" ref="AE69:AE102" si="18">Z69-(AA69+AB69)-AC69-AD69</f>
        <v>1975056</v>
      </c>
      <c r="AF69" s="6">
        <v>32515</v>
      </c>
      <c r="AG69" s="16">
        <f t="shared" ref="AG69:AG102" si="19">AE69/AF69*1000</f>
        <v>60742.918652929417</v>
      </c>
      <c r="AH69" s="15">
        <f t="shared" ref="AH69:AH102" si="20">AG69-V69</f>
        <v>3748.8959573775064</v>
      </c>
      <c r="AI69" s="17">
        <f t="shared" ref="AI69:AI102" si="21">+(AE69/T69-1)*100</f>
        <v>5.1451520941392381</v>
      </c>
    </row>
    <row r="70" spans="4:35" ht="15.75" x14ac:dyDescent="0.25">
      <c r="D70" s="11" t="s">
        <v>84</v>
      </c>
      <c r="E70" s="14">
        <v>6948467</v>
      </c>
      <c r="F70" s="14">
        <v>2748656</v>
      </c>
      <c r="G70" s="14">
        <v>-501078</v>
      </c>
      <c r="H70" s="14">
        <v>169</v>
      </c>
      <c r="I70" s="14">
        <v>0</v>
      </c>
      <c r="J70" s="6">
        <f t="shared" si="11"/>
        <v>4700720</v>
      </c>
      <c r="K70" s="15">
        <f t="shared" si="12"/>
        <v>5094076.2496000007</v>
      </c>
      <c r="L70" s="18">
        <v>99805</v>
      </c>
      <c r="M70" s="15">
        <f t="shared" si="13"/>
        <v>51040.291063573975</v>
      </c>
      <c r="N70" s="18"/>
      <c r="O70" s="14">
        <v>7413729</v>
      </c>
      <c r="P70" s="14">
        <v>3036817</v>
      </c>
      <c r="Q70" s="14">
        <v>-574955</v>
      </c>
      <c r="R70" s="14">
        <v>175</v>
      </c>
      <c r="S70" s="14">
        <v>0</v>
      </c>
      <c r="T70" s="16">
        <f t="shared" si="14"/>
        <v>4951692</v>
      </c>
      <c r="U70" s="6">
        <v>100511</v>
      </c>
      <c r="V70" s="15">
        <f t="shared" si="15"/>
        <v>49265.174955974973</v>
      </c>
      <c r="W70" s="11" t="s">
        <v>84</v>
      </c>
      <c r="X70" s="17">
        <f t="shared" si="16"/>
        <v>-1775.1161075990021</v>
      </c>
      <c r="Y70" s="17">
        <f t="shared" si="17"/>
        <v>-2.7950945887624035</v>
      </c>
      <c r="Z70" s="14">
        <v>7881076</v>
      </c>
      <c r="AA70" s="14">
        <v>3208290</v>
      </c>
      <c r="AB70" s="14">
        <v>-583609</v>
      </c>
      <c r="AC70" s="14">
        <v>184</v>
      </c>
      <c r="AD70" s="14">
        <v>0</v>
      </c>
      <c r="AE70" s="16">
        <f t="shared" si="18"/>
        <v>5256211</v>
      </c>
      <c r="AF70" s="6">
        <v>100609</v>
      </c>
      <c r="AG70" s="16">
        <f t="shared" si="19"/>
        <v>52243.944378733511</v>
      </c>
      <c r="AH70" s="15">
        <f t="shared" si="20"/>
        <v>2978.769422758538</v>
      </c>
      <c r="AI70" s="17">
        <f t="shared" si="21"/>
        <v>6.1497968775117595</v>
      </c>
    </row>
    <row r="71" spans="4:35" ht="15.75" x14ac:dyDescent="0.25">
      <c r="D71" s="11" t="s">
        <v>100</v>
      </c>
      <c r="E71" s="14">
        <v>1911751</v>
      </c>
      <c r="F71" s="14">
        <v>610501</v>
      </c>
      <c r="G71" s="14">
        <v>-131755</v>
      </c>
      <c r="H71" s="14">
        <v>0</v>
      </c>
      <c r="I71" s="14">
        <v>0</v>
      </c>
      <c r="J71" s="6">
        <f t="shared" si="11"/>
        <v>1433005</v>
      </c>
      <c r="K71" s="15">
        <f t="shared" si="12"/>
        <v>1552918.8584</v>
      </c>
      <c r="L71" s="18">
        <v>31035</v>
      </c>
      <c r="M71" s="15">
        <f t="shared" si="13"/>
        <v>50037.662587401319</v>
      </c>
      <c r="N71" s="18"/>
      <c r="O71" s="14">
        <v>2045068</v>
      </c>
      <c r="P71" s="14">
        <v>653725</v>
      </c>
      <c r="Q71" s="14">
        <v>-128775</v>
      </c>
      <c r="R71" s="14">
        <v>0</v>
      </c>
      <c r="S71" s="14">
        <v>0</v>
      </c>
      <c r="T71" s="16">
        <f t="shared" si="14"/>
        <v>1520118</v>
      </c>
      <c r="U71" s="6">
        <v>31109</v>
      </c>
      <c r="V71" s="15">
        <f t="shared" si="15"/>
        <v>48864.251502780549</v>
      </c>
      <c r="W71" s="11" t="s">
        <v>100</v>
      </c>
      <c r="X71" s="17">
        <f t="shared" si="16"/>
        <v>-1173.4110846207695</v>
      </c>
      <c r="Y71" s="17">
        <f t="shared" si="17"/>
        <v>-2.1122068434274333</v>
      </c>
      <c r="Z71" s="14">
        <v>2156145</v>
      </c>
      <c r="AA71" s="14">
        <v>699297</v>
      </c>
      <c r="AB71" s="14">
        <v>-138318</v>
      </c>
      <c r="AC71" s="14">
        <v>0</v>
      </c>
      <c r="AD71" s="14">
        <v>0</v>
      </c>
      <c r="AE71" s="16">
        <f t="shared" si="18"/>
        <v>1595166</v>
      </c>
      <c r="AF71" s="6">
        <v>31060</v>
      </c>
      <c r="AG71" s="16">
        <f t="shared" si="19"/>
        <v>51357.566001287829</v>
      </c>
      <c r="AH71" s="15">
        <f t="shared" si="20"/>
        <v>2493.3144985072795</v>
      </c>
      <c r="AI71" s="17">
        <f t="shared" si="21"/>
        <v>4.9369851550997934</v>
      </c>
    </row>
    <row r="72" spans="4:35" ht="15.75" x14ac:dyDescent="0.25">
      <c r="D72" s="11" t="s">
        <v>90</v>
      </c>
      <c r="E72" s="14">
        <v>3804138</v>
      </c>
      <c r="F72" s="14">
        <v>1371628</v>
      </c>
      <c r="G72" s="14">
        <v>-282962</v>
      </c>
      <c r="H72" s="14">
        <v>0</v>
      </c>
      <c r="I72" s="14">
        <v>0</v>
      </c>
      <c r="J72" s="6">
        <f t="shared" si="11"/>
        <v>2715472</v>
      </c>
      <c r="K72" s="15">
        <f t="shared" si="12"/>
        <v>2942702.6969600003</v>
      </c>
      <c r="L72" s="18">
        <v>56334</v>
      </c>
      <c r="M72" s="15">
        <f t="shared" si="13"/>
        <v>52236.707795647395</v>
      </c>
      <c r="N72" s="18"/>
      <c r="O72" s="14">
        <v>4041709</v>
      </c>
      <c r="P72" s="14">
        <v>1449024</v>
      </c>
      <c r="Q72" s="14">
        <v>-294782</v>
      </c>
      <c r="R72" s="14">
        <v>0</v>
      </c>
      <c r="S72" s="14">
        <v>0</v>
      </c>
      <c r="T72" s="16">
        <f t="shared" si="14"/>
        <v>2887467</v>
      </c>
      <c r="U72" s="6">
        <v>56175</v>
      </c>
      <c r="V72" s="15">
        <f t="shared" si="15"/>
        <v>51401.281708945266</v>
      </c>
      <c r="W72" s="11" t="s">
        <v>90</v>
      </c>
      <c r="X72" s="17">
        <f t="shared" si="16"/>
        <v>-835.4260867021294</v>
      </c>
      <c r="Y72" s="17">
        <f t="shared" si="17"/>
        <v>-1.8770396689092084</v>
      </c>
      <c r="Z72" s="14">
        <v>4216972</v>
      </c>
      <c r="AA72" s="14">
        <v>1477315</v>
      </c>
      <c r="AB72" s="14">
        <v>-288188</v>
      </c>
      <c r="AC72" s="14">
        <v>0</v>
      </c>
      <c r="AD72" s="14">
        <v>0</v>
      </c>
      <c r="AE72" s="16">
        <f t="shared" si="18"/>
        <v>3027845</v>
      </c>
      <c r="AF72" s="6">
        <v>56025</v>
      </c>
      <c r="AG72" s="16">
        <f t="shared" si="19"/>
        <v>54044.533690316828</v>
      </c>
      <c r="AH72" s="15">
        <f t="shared" si="20"/>
        <v>2643.2519813715626</v>
      </c>
      <c r="AI72" s="17">
        <f t="shared" si="21"/>
        <v>4.8616313190765537</v>
      </c>
    </row>
    <row r="73" spans="4:35" ht="15.75" x14ac:dyDescent="0.25">
      <c r="D73" s="11" t="s">
        <v>43</v>
      </c>
      <c r="E73" s="14">
        <v>2478776</v>
      </c>
      <c r="F73" s="14">
        <v>841354</v>
      </c>
      <c r="G73" s="14">
        <v>-159718</v>
      </c>
      <c r="H73" s="14">
        <v>0</v>
      </c>
      <c r="I73" s="14">
        <v>0</v>
      </c>
      <c r="J73" s="6">
        <f t="shared" si="11"/>
        <v>1797140</v>
      </c>
      <c r="K73" s="15">
        <f t="shared" si="12"/>
        <v>1947524.6752000002</v>
      </c>
      <c r="L73" s="18">
        <v>35436</v>
      </c>
      <c r="M73" s="15">
        <f t="shared" si="13"/>
        <v>54958.930895134901</v>
      </c>
      <c r="N73" s="18"/>
      <c r="O73" s="14">
        <v>2659887</v>
      </c>
      <c r="P73" s="14">
        <v>923167</v>
      </c>
      <c r="Q73" s="14">
        <v>-189585</v>
      </c>
      <c r="R73" s="14">
        <v>0</v>
      </c>
      <c r="S73" s="14">
        <v>0</v>
      </c>
      <c r="T73" s="16">
        <f t="shared" si="14"/>
        <v>1926305</v>
      </c>
      <c r="U73" s="6">
        <v>36110</v>
      </c>
      <c r="V73" s="15">
        <f t="shared" si="15"/>
        <v>53345.472168374414</v>
      </c>
      <c r="W73" s="11" t="s">
        <v>43</v>
      </c>
      <c r="X73" s="17">
        <f t="shared" si="16"/>
        <v>-1613.4587267604875</v>
      </c>
      <c r="Y73" s="17">
        <f t="shared" si="17"/>
        <v>-1.0895715710416365</v>
      </c>
      <c r="Z73" s="14">
        <v>2783254</v>
      </c>
      <c r="AA73" s="14">
        <v>995398</v>
      </c>
      <c r="AB73" s="14">
        <v>-197025</v>
      </c>
      <c r="AC73" s="14">
        <v>0</v>
      </c>
      <c r="AD73" s="14">
        <v>0</v>
      </c>
      <c r="AE73" s="16">
        <f t="shared" si="18"/>
        <v>1984881</v>
      </c>
      <c r="AF73" s="6">
        <v>36567</v>
      </c>
      <c r="AG73" s="16">
        <f t="shared" si="19"/>
        <v>54280.662892772169</v>
      </c>
      <c r="AH73" s="15">
        <f t="shared" si="20"/>
        <v>935.19072439775482</v>
      </c>
      <c r="AI73" s="17">
        <f t="shared" si="21"/>
        <v>3.0408476331629686</v>
      </c>
    </row>
    <row r="74" spans="4:35" ht="15.75" x14ac:dyDescent="0.25">
      <c r="D74" s="11" t="s">
        <v>36</v>
      </c>
      <c r="E74" s="14">
        <v>5791026</v>
      </c>
      <c r="F74" s="14">
        <v>1675930</v>
      </c>
      <c r="G74" s="14">
        <v>-291997</v>
      </c>
      <c r="H74" s="14">
        <v>0</v>
      </c>
      <c r="I74" s="14">
        <v>3022</v>
      </c>
      <c r="J74" s="6">
        <f t="shared" si="11"/>
        <v>4404071</v>
      </c>
      <c r="K74" s="15">
        <f t="shared" si="12"/>
        <v>4772603.6612799997</v>
      </c>
      <c r="L74" s="18">
        <v>90401</v>
      </c>
      <c r="M74" s="15">
        <f t="shared" si="13"/>
        <v>52793.704287341956</v>
      </c>
      <c r="N74" s="18"/>
      <c r="O74" s="14">
        <v>6188034</v>
      </c>
      <c r="P74" s="14">
        <v>1838904</v>
      </c>
      <c r="Q74" s="14">
        <v>-296777</v>
      </c>
      <c r="R74" s="14">
        <v>0</v>
      </c>
      <c r="S74" s="14">
        <v>3141</v>
      </c>
      <c r="T74" s="16">
        <f t="shared" si="14"/>
        <v>4642766</v>
      </c>
      <c r="U74" s="6">
        <v>91072</v>
      </c>
      <c r="V74" s="15">
        <f t="shared" si="15"/>
        <v>50979.071503865074</v>
      </c>
      <c r="W74" s="11" t="s">
        <v>36</v>
      </c>
      <c r="X74" s="17">
        <f t="shared" si="16"/>
        <v>-1814.6327834768817</v>
      </c>
      <c r="Y74" s="17">
        <f t="shared" si="17"/>
        <v>-2.720478600252707</v>
      </c>
      <c r="Z74" s="14">
        <v>6545190</v>
      </c>
      <c r="AA74" s="14">
        <v>1991658</v>
      </c>
      <c r="AB74" s="14">
        <v>-335614</v>
      </c>
      <c r="AC74" s="14">
        <v>0</v>
      </c>
      <c r="AD74" s="14">
        <v>3300</v>
      </c>
      <c r="AE74" s="16">
        <f t="shared" si="18"/>
        <v>4885846</v>
      </c>
      <c r="AF74" s="6">
        <v>91469</v>
      </c>
      <c r="AG74" s="16">
        <f t="shared" si="19"/>
        <v>53415.32103772863</v>
      </c>
      <c r="AH74" s="15">
        <f t="shared" si="20"/>
        <v>2436.2495338635563</v>
      </c>
      <c r="AI74" s="17">
        <f t="shared" si="21"/>
        <v>5.2356720110382504</v>
      </c>
    </row>
    <row r="75" spans="4:35" ht="15.75" x14ac:dyDescent="0.25">
      <c r="D75" s="11" t="s">
        <v>30</v>
      </c>
      <c r="E75" s="14">
        <v>3571792</v>
      </c>
      <c r="F75" s="14">
        <v>801457</v>
      </c>
      <c r="G75" s="14">
        <v>-142658</v>
      </c>
      <c r="H75" s="14">
        <v>0</v>
      </c>
      <c r="I75" s="14">
        <v>0</v>
      </c>
      <c r="J75" s="6">
        <f t="shared" si="11"/>
        <v>2912993</v>
      </c>
      <c r="K75" s="15">
        <f t="shared" si="12"/>
        <v>3156752.2542400002</v>
      </c>
      <c r="L75" s="18">
        <v>57813</v>
      </c>
      <c r="M75" s="15">
        <f t="shared" si="13"/>
        <v>54602.809994983829</v>
      </c>
      <c r="N75" s="18"/>
      <c r="O75" s="14">
        <v>3802899</v>
      </c>
      <c r="P75" s="14">
        <v>859465</v>
      </c>
      <c r="Q75" s="14">
        <v>-161617</v>
      </c>
      <c r="R75" s="14">
        <v>0</v>
      </c>
      <c r="S75" s="14">
        <v>0</v>
      </c>
      <c r="T75" s="16">
        <f t="shared" si="14"/>
        <v>3105051</v>
      </c>
      <c r="U75" s="6">
        <v>57311</v>
      </c>
      <c r="V75" s="15">
        <f t="shared" si="15"/>
        <v>54178.970878190921</v>
      </c>
      <c r="W75" s="11" t="s">
        <v>30</v>
      </c>
      <c r="X75" s="17">
        <f t="shared" si="16"/>
        <v>-423.83911679290759</v>
      </c>
      <c r="Y75" s="17">
        <f t="shared" si="17"/>
        <v>-1.6377989172434271</v>
      </c>
      <c r="Z75" s="14">
        <v>4007700</v>
      </c>
      <c r="AA75" s="14">
        <v>900533</v>
      </c>
      <c r="AB75" s="14">
        <v>-180709</v>
      </c>
      <c r="AC75" s="14">
        <v>0</v>
      </c>
      <c r="AD75" s="14">
        <v>0</v>
      </c>
      <c r="AE75" s="16">
        <f t="shared" si="18"/>
        <v>3287876</v>
      </c>
      <c r="AF75" s="6">
        <v>57202</v>
      </c>
      <c r="AG75" s="16">
        <f t="shared" si="19"/>
        <v>57478.339918184683</v>
      </c>
      <c r="AH75" s="15">
        <f t="shared" si="20"/>
        <v>3299.3690399937623</v>
      </c>
      <c r="AI75" s="17">
        <f t="shared" si="21"/>
        <v>5.8879870250118316</v>
      </c>
    </row>
    <row r="76" spans="4:35" ht="15.75" x14ac:dyDescent="0.25">
      <c r="D76" s="11" t="s">
        <v>20</v>
      </c>
      <c r="E76" s="14">
        <v>3189060</v>
      </c>
      <c r="F76" s="14">
        <v>957424</v>
      </c>
      <c r="G76" s="14">
        <v>-161718</v>
      </c>
      <c r="H76" s="14">
        <v>0</v>
      </c>
      <c r="I76" s="14">
        <v>0</v>
      </c>
      <c r="J76" s="6">
        <f t="shared" si="11"/>
        <v>2393354</v>
      </c>
      <c r="K76" s="15">
        <f t="shared" si="12"/>
        <v>2593629.8627200006</v>
      </c>
      <c r="L76" s="18">
        <v>42045</v>
      </c>
      <c r="M76" s="15">
        <f t="shared" si="13"/>
        <v>61686.998756570356</v>
      </c>
      <c r="N76" s="18"/>
      <c r="O76" s="14">
        <v>3418127</v>
      </c>
      <c r="P76" s="14">
        <v>1038488</v>
      </c>
      <c r="Q76" s="14">
        <v>-170086</v>
      </c>
      <c r="R76" s="14">
        <v>0</v>
      </c>
      <c r="S76" s="14">
        <v>0</v>
      </c>
      <c r="T76" s="16">
        <f t="shared" si="14"/>
        <v>2549725</v>
      </c>
      <c r="U76" s="6">
        <v>43116</v>
      </c>
      <c r="V76" s="15">
        <f t="shared" si="15"/>
        <v>59136.399480471293</v>
      </c>
      <c r="W76" s="11" t="s">
        <v>20</v>
      </c>
      <c r="X76" s="17">
        <f t="shared" si="16"/>
        <v>-2550.599276099063</v>
      </c>
      <c r="Y76" s="17">
        <f t="shared" si="17"/>
        <v>-1.6927960057475766</v>
      </c>
      <c r="Z76" s="14">
        <v>3623090</v>
      </c>
      <c r="AA76" s="14">
        <v>1080299</v>
      </c>
      <c r="AB76" s="14">
        <v>-182694</v>
      </c>
      <c r="AC76" s="14">
        <v>0</v>
      </c>
      <c r="AD76" s="14">
        <v>0</v>
      </c>
      <c r="AE76" s="16">
        <f t="shared" si="18"/>
        <v>2725485</v>
      </c>
      <c r="AF76" s="6">
        <v>44963</v>
      </c>
      <c r="AG76" s="16">
        <f t="shared" si="19"/>
        <v>60616.173298045062</v>
      </c>
      <c r="AH76" s="15">
        <f t="shared" si="20"/>
        <v>1479.7738175737686</v>
      </c>
      <c r="AI76" s="17">
        <f t="shared" si="21"/>
        <v>6.8932924138877638</v>
      </c>
    </row>
    <row r="77" spans="4:35" ht="15.75" x14ac:dyDescent="0.25">
      <c r="D77" s="11" t="s">
        <v>86</v>
      </c>
      <c r="E77" s="14">
        <v>339399</v>
      </c>
      <c r="F77" s="14">
        <v>99533</v>
      </c>
      <c r="G77" s="14">
        <v>-17756</v>
      </c>
      <c r="H77" s="14">
        <v>0</v>
      </c>
      <c r="I77" s="14">
        <v>0</v>
      </c>
      <c r="J77" s="6">
        <f t="shared" si="11"/>
        <v>257622</v>
      </c>
      <c r="K77" s="15">
        <f t="shared" si="12"/>
        <v>279179.80895999999</v>
      </c>
      <c r="L77" s="18">
        <v>3763</v>
      </c>
      <c r="M77" s="15">
        <f t="shared" si="13"/>
        <v>74190.754440605902</v>
      </c>
      <c r="N77" s="18"/>
      <c r="O77" s="14">
        <v>353529</v>
      </c>
      <c r="P77" s="14">
        <v>103192</v>
      </c>
      <c r="Q77" s="14">
        <v>-17476</v>
      </c>
      <c r="R77" s="14">
        <v>0</v>
      </c>
      <c r="S77" s="14">
        <v>0</v>
      </c>
      <c r="T77" s="16">
        <f t="shared" si="14"/>
        <v>267813</v>
      </c>
      <c r="U77" s="6">
        <v>3801</v>
      </c>
      <c r="V77" s="15">
        <f t="shared" si="15"/>
        <v>70458.563535911613</v>
      </c>
      <c r="W77" s="11" t="s">
        <v>86</v>
      </c>
      <c r="X77" s="17">
        <f t="shared" si="16"/>
        <v>-3732.1909046942892</v>
      </c>
      <c r="Y77" s="17">
        <f t="shared" si="17"/>
        <v>-4.0715010882569231</v>
      </c>
      <c r="Z77" s="14">
        <v>362337</v>
      </c>
      <c r="AA77" s="14">
        <v>107679</v>
      </c>
      <c r="AB77" s="14">
        <v>-17426</v>
      </c>
      <c r="AC77" s="14">
        <v>0</v>
      </c>
      <c r="AD77" s="14">
        <v>0</v>
      </c>
      <c r="AE77" s="16">
        <f t="shared" si="18"/>
        <v>272084</v>
      </c>
      <c r="AF77" s="6">
        <v>3711</v>
      </c>
      <c r="AG77" s="16">
        <f t="shared" si="19"/>
        <v>73318.243061169502</v>
      </c>
      <c r="AH77" s="15">
        <f t="shared" si="20"/>
        <v>2859.6795252578886</v>
      </c>
      <c r="AI77" s="17">
        <f t="shared" si="21"/>
        <v>1.5947694846777383</v>
      </c>
    </row>
    <row r="78" spans="4:35" ht="15.75" x14ac:dyDescent="0.25">
      <c r="D78" s="11" t="s">
        <v>85</v>
      </c>
      <c r="E78" s="14">
        <v>6268143</v>
      </c>
      <c r="F78" s="14">
        <v>2211830</v>
      </c>
      <c r="G78" s="14">
        <v>-444086</v>
      </c>
      <c r="H78" s="14">
        <v>0</v>
      </c>
      <c r="I78" s="14">
        <v>0</v>
      </c>
      <c r="J78" s="6">
        <f t="shared" si="11"/>
        <v>4500399</v>
      </c>
      <c r="K78" s="15">
        <f t="shared" si="12"/>
        <v>4876992.3883200008</v>
      </c>
      <c r="L78" s="18">
        <v>99183</v>
      </c>
      <c r="M78" s="15">
        <f t="shared" si="13"/>
        <v>49171.656315295979</v>
      </c>
      <c r="N78" s="18"/>
      <c r="O78" s="14">
        <v>6746812</v>
      </c>
      <c r="P78" s="14">
        <v>2419351</v>
      </c>
      <c r="Q78" s="14">
        <v>-477780</v>
      </c>
      <c r="R78" s="14">
        <v>0</v>
      </c>
      <c r="S78" s="14">
        <v>0</v>
      </c>
      <c r="T78" s="16">
        <f t="shared" si="14"/>
        <v>4805241</v>
      </c>
      <c r="U78" s="6">
        <v>100831</v>
      </c>
      <c r="V78" s="15">
        <f t="shared" si="15"/>
        <v>47656.385437018376</v>
      </c>
      <c r="W78" s="11" t="s">
        <v>85</v>
      </c>
      <c r="X78" s="17">
        <f t="shared" si="16"/>
        <v>-1515.2708782776026</v>
      </c>
      <c r="Y78" s="17">
        <f t="shared" si="17"/>
        <v>-1.471222068991529</v>
      </c>
      <c r="Z78" s="14">
        <v>7187007</v>
      </c>
      <c r="AA78" s="14">
        <v>2534108</v>
      </c>
      <c r="AB78" s="14">
        <v>-480328</v>
      </c>
      <c r="AC78" s="14">
        <v>0</v>
      </c>
      <c r="AD78" s="14">
        <v>0</v>
      </c>
      <c r="AE78" s="16">
        <f t="shared" si="18"/>
        <v>5133227</v>
      </c>
      <c r="AF78" s="6">
        <v>102218</v>
      </c>
      <c r="AG78" s="16">
        <f t="shared" si="19"/>
        <v>50218.425326263481</v>
      </c>
      <c r="AH78" s="15">
        <f t="shared" si="20"/>
        <v>2562.0398892451049</v>
      </c>
      <c r="AI78" s="17">
        <f t="shared" si="21"/>
        <v>6.8255889767027345</v>
      </c>
    </row>
    <row r="79" spans="4:35" ht="15.75" x14ac:dyDescent="0.25">
      <c r="D79" s="11" t="s">
        <v>87</v>
      </c>
      <c r="E79" s="14">
        <v>3964522</v>
      </c>
      <c r="F79" s="14">
        <v>1186502</v>
      </c>
      <c r="G79" s="14">
        <v>-245320</v>
      </c>
      <c r="H79" s="14">
        <v>0</v>
      </c>
      <c r="I79" s="14">
        <v>0</v>
      </c>
      <c r="J79" s="6">
        <f t="shared" si="11"/>
        <v>3023340</v>
      </c>
      <c r="K79" s="15">
        <f t="shared" si="12"/>
        <v>3276333.0912000006</v>
      </c>
      <c r="L79" s="18">
        <v>65438</v>
      </c>
      <c r="M79" s="15">
        <f t="shared" si="13"/>
        <v>50067.744906629188</v>
      </c>
      <c r="N79" s="18"/>
      <c r="O79" s="14">
        <v>4302112</v>
      </c>
      <c r="P79" s="14">
        <v>1320627</v>
      </c>
      <c r="Q79" s="14">
        <v>-279915</v>
      </c>
      <c r="R79" s="14">
        <v>0</v>
      </c>
      <c r="S79" s="14">
        <v>0</v>
      </c>
      <c r="T79" s="16">
        <f t="shared" si="14"/>
        <v>3261400</v>
      </c>
      <c r="U79" s="6">
        <v>65841</v>
      </c>
      <c r="V79" s="15">
        <f t="shared" si="15"/>
        <v>49534.484591667802</v>
      </c>
      <c r="W79" s="11" t="s">
        <v>87</v>
      </c>
      <c r="X79" s="17">
        <f t="shared" si="16"/>
        <v>-533.26031496138603</v>
      </c>
      <c r="Y79" s="17">
        <f t="shared" si="17"/>
        <v>-0.45578672205551785</v>
      </c>
      <c r="Z79" s="14">
        <v>4540339</v>
      </c>
      <c r="AA79" s="14">
        <v>1367426</v>
      </c>
      <c r="AB79" s="14">
        <v>-281003</v>
      </c>
      <c r="AC79" s="14">
        <v>0</v>
      </c>
      <c r="AD79" s="14">
        <v>0</v>
      </c>
      <c r="AE79" s="16">
        <f t="shared" si="18"/>
        <v>3453916</v>
      </c>
      <c r="AF79" s="6">
        <v>65700</v>
      </c>
      <c r="AG79" s="16">
        <f t="shared" si="19"/>
        <v>52571.019786910198</v>
      </c>
      <c r="AH79" s="15">
        <f t="shared" si="20"/>
        <v>3036.5351952423953</v>
      </c>
      <c r="AI79" s="17">
        <f t="shared" si="21"/>
        <v>5.9028638008217227</v>
      </c>
    </row>
    <row r="80" spans="4:35" ht="15.75" x14ac:dyDescent="0.25">
      <c r="D80" s="11" t="s">
        <v>93</v>
      </c>
      <c r="E80" s="14">
        <v>3261409</v>
      </c>
      <c r="F80" s="14">
        <v>1233439</v>
      </c>
      <c r="G80" s="14">
        <v>-213878</v>
      </c>
      <c r="H80" s="14">
        <v>0</v>
      </c>
      <c r="I80" s="14">
        <v>0</v>
      </c>
      <c r="J80" s="6">
        <f t="shared" si="11"/>
        <v>2241848</v>
      </c>
      <c r="K80" s="15">
        <f t="shared" si="12"/>
        <v>2429445.8406400001</v>
      </c>
      <c r="L80" s="18">
        <v>45032</v>
      </c>
      <c r="M80" s="15">
        <f t="shared" si="13"/>
        <v>53949.321385681294</v>
      </c>
      <c r="N80" s="18"/>
      <c r="O80" s="14">
        <v>3488943</v>
      </c>
      <c r="P80" s="14">
        <v>1327745</v>
      </c>
      <c r="Q80" s="14">
        <v>-215736</v>
      </c>
      <c r="R80" s="14">
        <v>0</v>
      </c>
      <c r="S80" s="14">
        <v>0</v>
      </c>
      <c r="T80" s="16">
        <f t="shared" si="14"/>
        <v>2376934</v>
      </c>
      <c r="U80" s="6">
        <v>44822</v>
      </c>
      <c r="V80" s="15">
        <f t="shared" si="15"/>
        <v>53030.520726428986</v>
      </c>
      <c r="W80" s="11" t="s">
        <v>93</v>
      </c>
      <c r="X80" s="17">
        <f t="shared" si="16"/>
        <v>-918.80065925230883</v>
      </c>
      <c r="Y80" s="17">
        <f t="shared" si="17"/>
        <v>-2.1614740185427084</v>
      </c>
      <c r="Z80" s="14">
        <v>3652035</v>
      </c>
      <c r="AA80" s="14">
        <v>1389786</v>
      </c>
      <c r="AB80" s="14">
        <v>-226921</v>
      </c>
      <c r="AC80" s="14">
        <v>0</v>
      </c>
      <c r="AD80" s="14">
        <v>0</v>
      </c>
      <c r="AE80" s="16">
        <f t="shared" si="18"/>
        <v>2489170</v>
      </c>
      <c r="AF80" s="6">
        <v>44472</v>
      </c>
      <c r="AG80" s="16">
        <f t="shared" si="19"/>
        <v>55971.622593991728</v>
      </c>
      <c r="AH80" s="15">
        <f t="shared" si="20"/>
        <v>2941.101867562742</v>
      </c>
      <c r="AI80" s="17">
        <f t="shared" si="21"/>
        <v>4.7218812133614119</v>
      </c>
    </row>
    <row r="81" spans="4:35" ht="15.75" x14ac:dyDescent="0.25">
      <c r="D81" s="11" t="s">
        <v>44</v>
      </c>
      <c r="E81" s="14">
        <v>5823715</v>
      </c>
      <c r="F81" s="14">
        <v>2238096</v>
      </c>
      <c r="G81" s="14">
        <v>-410455</v>
      </c>
      <c r="H81" s="14">
        <v>0</v>
      </c>
      <c r="I81" s="14">
        <v>479</v>
      </c>
      <c r="J81" s="6">
        <f t="shared" si="11"/>
        <v>3995595</v>
      </c>
      <c r="K81" s="15">
        <f t="shared" si="12"/>
        <v>4329946.3896000003</v>
      </c>
      <c r="L81" s="18">
        <v>80266</v>
      </c>
      <c r="M81" s="15">
        <f t="shared" si="13"/>
        <v>53944.962868462368</v>
      </c>
      <c r="N81" s="18"/>
      <c r="O81" s="14">
        <v>6185168</v>
      </c>
      <c r="P81" s="14">
        <v>2365162</v>
      </c>
      <c r="Q81" s="14">
        <v>-395202</v>
      </c>
      <c r="R81" s="14">
        <v>0</v>
      </c>
      <c r="S81" s="14">
        <v>992</v>
      </c>
      <c r="T81" s="16">
        <f t="shared" si="14"/>
        <v>4214216</v>
      </c>
      <c r="U81" s="6">
        <v>79888</v>
      </c>
      <c r="V81" s="15">
        <f t="shared" si="15"/>
        <v>52751.552173042255</v>
      </c>
      <c r="W81" s="11" t="s">
        <v>44</v>
      </c>
      <c r="X81" s="17">
        <f t="shared" si="16"/>
        <v>-1193.4106954201125</v>
      </c>
      <c r="Y81" s="17">
        <f t="shared" si="17"/>
        <v>-2.6727903578199097</v>
      </c>
      <c r="Z81" s="14">
        <v>6522838</v>
      </c>
      <c r="AA81" s="14">
        <v>2478787</v>
      </c>
      <c r="AB81" s="14">
        <v>-400774</v>
      </c>
      <c r="AC81" s="14">
        <v>0</v>
      </c>
      <c r="AD81" s="14">
        <v>1041</v>
      </c>
      <c r="AE81" s="16">
        <f t="shared" si="18"/>
        <v>4443784</v>
      </c>
      <c r="AF81" s="6">
        <v>80079</v>
      </c>
      <c r="AG81" s="16">
        <f t="shared" si="19"/>
        <v>55492.501155109334</v>
      </c>
      <c r="AH81" s="15">
        <f t="shared" si="20"/>
        <v>2740.9489820670788</v>
      </c>
      <c r="AI81" s="17">
        <f t="shared" si="21"/>
        <v>5.4474663852066341</v>
      </c>
    </row>
    <row r="82" spans="4:35" ht="15.75" x14ac:dyDescent="0.25">
      <c r="D82" s="11" t="s">
        <v>37</v>
      </c>
      <c r="E82" s="14">
        <v>1493110</v>
      </c>
      <c r="F82" s="14">
        <v>396276</v>
      </c>
      <c r="G82" s="14">
        <v>-80592</v>
      </c>
      <c r="H82" s="14">
        <v>0</v>
      </c>
      <c r="I82" s="14">
        <v>0</v>
      </c>
      <c r="J82" s="6">
        <f t="shared" si="11"/>
        <v>1177426</v>
      </c>
      <c r="K82" s="15">
        <f t="shared" si="12"/>
        <v>1275953.00768</v>
      </c>
      <c r="L82" s="18">
        <v>24190</v>
      </c>
      <c r="M82" s="15">
        <f t="shared" si="13"/>
        <v>52747.127229433652</v>
      </c>
      <c r="N82" s="18"/>
      <c r="O82" s="14">
        <v>1583700</v>
      </c>
      <c r="P82" s="14">
        <v>417620</v>
      </c>
      <c r="Q82" s="14">
        <v>-90741</v>
      </c>
      <c r="R82" s="14">
        <v>0</v>
      </c>
      <c r="S82" s="14">
        <v>0</v>
      </c>
      <c r="T82" s="16">
        <f t="shared" si="14"/>
        <v>1256821</v>
      </c>
      <c r="U82" s="6">
        <v>24427</v>
      </c>
      <c r="V82" s="15">
        <f t="shared" si="15"/>
        <v>51452.122651164696</v>
      </c>
      <c r="W82" s="11" t="s">
        <v>37</v>
      </c>
      <c r="X82" s="17">
        <f t="shared" si="16"/>
        <v>-1295.0045782689558</v>
      </c>
      <c r="Y82" s="17">
        <f t="shared" si="17"/>
        <v>-1.4994288633549901</v>
      </c>
      <c r="Z82" s="14">
        <v>1689180</v>
      </c>
      <c r="AA82" s="14">
        <v>433617</v>
      </c>
      <c r="AB82" s="14">
        <v>-90919</v>
      </c>
      <c r="AC82" s="14">
        <v>0</v>
      </c>
      <c r="AD82" s="14">
        <v>0</v>
      </c>
      <c r="AE82" s="16">
        <f t="shared" si="18"/>
        <v>1346482</v>
      </c>
      <c r="AF82" s="6">
        <v>24780</v>
      </c>
      <c r="AG82" s="16">
        <f t="shared" si="19"/>
        <v>54337.449556093627</v>
      </c>
      <c r="AH82" s="15">
        <f t="shared" si="20"/>
        <v>2885.3269049289302</v>
      </c>
      <c r="AI82" s="17">
        <f t="shared" si="21"/>
        <v>7.13395145370741</v>
      </c>
    </row>
    <row r="83" spans="4:35" ht="15.75" x14ac:dyDescent="0.25">
      <c r="D83" s="11" t="s">
        <v>46</v>
      </c>
      <c r="E83" s="14">
        <v>2080118</v>
      </c>
      <c r="F83" s="14">
        <v>736444</v>
      </c>
      <c r="G83" s="14">
        <v>-130560</v>
      </c>
      <c r="H83" s="14">
        <v>-12</v>
      </c>
      <c r="I83" s="14">
        <v>0</v>
      </c>
      <c r="J83" s="6">
        <f t="shared" si="11"/>
        <v>1474246</v>
      </c>
      <c r="K83" s="15">
        <f t="shared" si="12"/>
        <v>1597610.9052800003</v>
      </c>
      <c r="L83" s="18">
        <v>30263</v>
      </c>
      <c r="M83" s="15">
        <f t="shared" si="13"/>
        <v>52790.896648712958</v>
      </c>
      <c r="N83" s="18"/>
      <c r="O83" s="14">
        <v>2242271</v>
      </c>
      <c r="P83" s="14">
        <v>818256</v>
      </c>
      <c r="Q83" s="14">
        <v>-134877</v>
      </c>
      <c r="R83" s="14">
        <v>-13</v>
      </c>
      <c r="S83" s="14">
        <v>0</v>
      </c>
      <c r="T83" s="16">
        <f t="shared" si="14"/>
        <v>1558905</v>
      </c>
      <c r="U83" s="6">
        <v>30563</v>
      </c>
      <c r="V83" s="15">
        <f t="shared" si="15"/>
        <v>51006.282105814222</v>
      </c>
      <c r="W83" s="11" t="s">
        <v>46</v>
      </c>
      <c r="X83" s="17">
        <f t="shared" si="16"/>
        <v>-1784.6145428987365</v>
      </c>
      <c r="Y83" s="17">
        <f t="shared" si="17"/>
        <v>-2.4227366721195853</v>
      </c>
      <c r="Z83" s="14">
        <v>2368182</v>
      </c>
      <c r="AA83" s="14">
        <v>872387</v>
      </c>
      <c r="AB83" s="14">
        <v>-138262</v>
      </c>
      <c r="AC83" s="14">
        <v>-13</v>
      </c>
      <c r="AD83" s="14">
        <v>0</v>
      </c>
      <c r="AE83" s="16">
        <f t="shared" si="18"/>
        <v>1634070</v>
      </c>
      <c r="AF83" s="6">
        <v>30552</v>
      </c>
      <c r="AG83" s="16">
        <f t="shared" si="19"/>
        <v>53484.878240377067</v>
      </c>
      <c r="AH83" s="15">
        <f t="shared" si="20"/>
        <v>2478.5961345628457</v>
      </c>
      <c r="AI83" s="17">
        <f t="shared" si="21"/>
        <v>4.8216536607426308</v>
      </c>
    </row>
    <row r="84" spans="4:35" ht="15.75" x14ac:dyDescent="0.25">
      <c r="D84" s="11" t="s">
        <v>45</v>
      </c>
      <c r="E84" s="14">
        <v>1594490</v>
      </c>
      <c r="F84" s="14">
        <v>575198</v>
      </c>
      <c r="G84" s="14">
        <v>-100162</v>
      </c>
      <c r="H84" s="14">
        <v>0</v>
      </c>
      <c r="I84" s="14">
        <v>0</v>
      </c>
      <c r="J84" s="6">
        <f t="shared" si="11"/>
        <v>1119454</v>
      </c>
      <c r="K84" s="15">
        <f t="shared" si="12"/>
        <v>1213129.91072</v>
      </c>
      <c r="L84" s="18">
        <v>23741</v>
      </c>
      <c r="M84" s="15">
        <f t="shared" si="13"/>
        <v>51098.517784423573</v>
      </c>
      <c r="N84" s="18"/>
      <c r="O84" s="14">
        <v>1704611</v>
      </c>
      <c r="P84" s="14">
        <v>629374</v>
      </c>
      <c r="Q84" s="14">
        <v>-107607</v>
      </c>
      <c r="R84" s="14">
        <v>0</v>
      </c>
      <c r="S84" s="14">
        <v>0</v>
      </c>
      <c r="T84" s="16">
        <f t="shared" si="14"/>
        <v>1182844</v>
      </c>
      <c r="U84" s="6">
        <v>23861</v>
      </c>
      <c r="V84" s="15">
        <f t="shared" si="15"/>
        <v>49572.272746322451</v>
      </c>
      <c r="W84" s="11" t="s">
        <v>45</v>
      </c>
      <c r="X84" s="17">
        <f t="shared" si="16"/>
        <v>-1526.2450381011222</v>
      </c>
      <c r="Y84" s="17">
        <f t="shared" si="17"/>
        <v>-2.4965100977540899</v>
      </c>
      <c r="Z84" s="14">
        <v>1777575</v>
      </c>
      <c r="AA84" s="14">
        <v>641690</v>
      </c>
      <c r="AB84" s="14">
        <v>-112212</v>
      </c>
      <c r="AC84" s="14">
        <v>0</v>
      </c>
      <c r="AD84" s="14">
        <v>0</v>
      </c>
      <c r="AE84" s="16">
        <f t="shared" si="18"/>
        <v>1248097</v>
      </c>
      <c r="AF84" s="6">
        <v>23781</v>
      </c>
      <c r="AG84" s="16">
        <f t="shared" si="19"/>
        <v>52482.948572389723</v>
      </c>
      <c r="AH84" s="15">
        <f t="shared" si="20"/>
        <v>2910.6758260672723</v>
      </c>
      <c r="AI84" s="17">
        <f t="shared" si="21"/>
        <v>5.5166192667841285</v>
      </c>
    </row>
    <row r="85" spans="4:35" ht="15.75" x14ac:dyDescent="0.25">
      <c r="D85" s="11" t="s">
        <v>79</v>
      </c>
      <c r="E85" s="14">
        <v>1476369</v>
      </c>
      <c r="F85" s="14">
        <v>530517</v>
      </c>
      <c r="G85" s="14">
        <v>-102519</v>
      </c>
      <c r="H85" s="14">
        <v>0</v>
      </c>
      <c r="I85" s="14">
        <v>0</v>
      </c>
      <c r="J85" s="6">
        <f t="shared" si="11"/>
        <v>1048371</v>
      </c>
      <c r="K85" s="15">
        <f t="shared" si="12"/>
        <v>1136098.6852799999</v>
      </c>
      <c r="L85" s="18">
        <v>20814</v>
      </c>
      <c r="M85" s="15">
        <f t="shared" si="13"/>
        <v>54583.390279619482</v>
      </c>
      <c r="N85" s="18"/>
      <c r="O85" s="14">
        <v>1550790</v>
      </c>
      <c r="P85" s="14">
        <v>560022</v>
      </c>
      <c r="Q85" s="14">
        <v>-100357</v>
      </c>
      <c r="R85" s="14">
        <v>0</v>
      </c>
      <c r="S85" s="14">
        <v>0</v>
      </c>
      <c r="T85" s="16">
        <f t="shared" si="14"/>
        <v>1091125</v>
      </c>
      <c r="U85" s="6">
        <v>20702</v>
      </c>
      <c r="V85" s="15">
        <f t="shared" si="15"/>
        <v>52706.260264708726</v>
      </c>
      <c r="W85" s="11" t="s">
        <v>79</v>
      </c>
      <c r="X85" s="17">
        <f t="shared" si="16"/>
        <v>-1877.1300149107556</v>
      </c>
      <c r="Y85" s="17">
        <f t="shared" si="17"/>
        <v>-3.9586072814542295</v>
      </c>
      <c r="Z85" s="14">
        <v>1637589</v>
      </c>
      <c r="AA85" s="14">
        <v>594035</v>
      </c>
      <c r="AB85" s="14">
        <v>-104283</v>
      </c>
      <c r="AC85" s="14">
        <v>0</v>
      </c>
      <c r="AD85" s="14">
        <v>0</v>
      </c>
      <c r="AE85" s="16">
        <f t="shared" si="18"/>
        <v>1147837</v>
      </c>
      <c r="AF85" s="6">
        <v>20458</v>
      </c>
      <c r="AG85" s="16">
        <f t="shared" si="19"/>
        <v>56106.999706716204</v>
      </c>
      <c r="AH85" s="15">
        <f t="shared" si="20"/>
        <v>3400.7394420074779</v>
      </c>
      <c r="AI85" s="17">
        <f t="shared" si="21"/>
        <v>5.1975713140107738</v>
      </c>
    </row>
    <row r="86" spans="4:35" ht="15.75" x14ac:dyDescent="0.25">
      <c r="D86" s="11" t="s">
        <v>59</v>
      </c>
      <c r="E86" s="14">
        <v>4108710</v>
      </c>
      <c r="F86" s="14">
        <v>1497060</v>
      </c>
      <c r="G86" s="14">
        <v>-277421</v>
      </c>
      <c r="H86" s="14">
        <v>824</v>
      </c>
      <c r="I86" s="14">
        <v>676</v>
      </c>
      <c r="J86" s="6">
        <f t="shared" si="11"/>
        <v>2887571</v>
      </c>
      <c r="K86" s="15">
        <f t="shared" si="12"/>
        <v>3129202.9412800004</v>
      </c>
      <c r="L86" s="18">
        <v>59692</v>
      </c>
      <c r="M86" s="15">
        <f t="shared" si="13"/>
        <v>52422.484441466193</v>
      </c>
      <c r="N86" s="18"/>
      <c r="O86" s="14">
        <v>4416901</v>
      </c>
      <c r="P86" s="14">
        <v>1625894</v>
      </c>
      <c r="Q86" s="14">
        <v>-291787</v>
      </c>
      <c r="R86" s="14">
        <v>233</v>
      </c>
      <c r="S86" s="14">
        <v>703</v>
      </c>
      <c r="T86" s="16">
        <f t="shared" si="14"/>
        <v>3081858</v>
      </c>
      <c r="U86" s="6">
        <v>60030</v>
      </c>
      <c r="V86" s="15">
        <f t="shared" si="15"/>
        <v>51338.63068465767</v>
      </c>
      <c r="W86" s="11" t="s">
        <v>59</v>
      </c>
      <c r="X86" s="17">
        <f t="shared" si="16"/>
        <v>-1083.853756808523</v>
      </c>
      <c r="Y86" s="17">
        <f t="shared" si="17"/>
        <v>-1.5130032205784016</v>
      </c>
      <c r="Z86" s="14">
        <v>4637763</v>
      </c>
      <c r="AA86" s="14">
        <v>1678472</v>
      </c>
      <c r="AB86" s="14">
        <v>-309195</v>
      </c>
      <c r="AC86" s="14">
        <v>296</v>
      </c>
      <c r="AD86" s="14">
        <v>684</v>
      </c>
      <c r="AE86" s="16">
        <f t="shared" si="18"/>
        <v>3267506</v>
      </c>
      <c r="AF86" s="6">
        <v>60058</v>
      </c>
      <c r="AG86" s="16">
        <f t="shared" si="19"/>
        <v>54405.841020346998</v>
      </c>
      <c r="AH86" s="15">
        <f t="shared" si="20"/>
        <v>3067.2103356893276</v>
      </c>
      <c r="AI86" s="17">
        <f t="shared" si="21"/>
        <v>6.0238985702780523</v>
      </c>
    </row>
    <row r="87" spans="4:35" ht="15.75" x14ac:dyDescent="0.25">
      <c r="D87" s="11" t="s">
        <v>80</v>
      </c>
      <c r="E87" s="14">
        <v>2885639</v>
      </c>
      <c r="F87" s="14">
        <v>1046383</v>
      </c>
      <c r="G87" s="14">
        <v>-211757</v>
      </c>
      <c r="H87" s="14">
        <v>0</v>
      </c>
      <c r="I87" s="14">
        <v>0</v>
      </c>
      <c r="J87" s="6">
        <f t="shared" si="11"/>
        <v>2051013</v>
      </c>
      <c r="K87" s="15">
        <f t="shared" si="12"/>
        <v>2222641.7678400003</v>
      </c>
      <c r="L87" s="18">
        <v>44151</v>
      </c>
      <c r="M87" s="15">
        <f t="shared" si="13"/>
        <v>50341.82165386968</v>
      </c>
      <c r="N87" s="18"/>
      <c r="O87" s="14">
        <v>3079691</v>
      </c>
      <c r="P87" s="14">
        <v>1101096</v>
      </c>
      <c r="Q87" s="14">
        <v>-230112</v>
      </c>
      <c r="R87" s="14">
        <v>0</v>
      </c>
      <c r="S87" s="14">
        <v>0</v>
      </c>
      <c r="T87" s="16">
        <f t="shared" si="14"/>
        <v>2208707</v>
      </c>
      <c r="U87" s="6">
        <v>44507</v>
      </c>
      <c r="V87" s="15">
        <f t="shared" si="15"/>
        <v>49626.058822207749</v>
      </c>
      <c r="W87" s="11" t="s">
        <v>80</v>
      </c>
      <c r="X87" s="17">
        <f t="shared" si="16"/>
        <v>-715.76283166193025</v>
      </c>
      <c r="Y87" s="17">
        <f t="shared" si="17"/>
        <v>-0.62694618816339087</v>
      </c>
      <c r="Z87" s="14">
        <v>3261291</v>
      </c>
      <c r="AA87" s="14">
        <v>1162762</v>
      </c>
      <c r="AB87" s="14">
        <v>-232304</v>
      </c>
      <c r="AC87" s="14">
        <v>0</v>
      </c>
      <c r="AD87" s="14">
        <v>0</v>
      </c>
      <c r="AE87" s="16">
        <f t="shared" si="18"/>
        <v>2330833</v>
      </c>
      <c r="AF87" s="6">
        <v>44283</v>
      </c>
      <c r="AG87" s="16">
        <f t="shared" si="19"/>
        <v>52634.938915610961</v>
      </c>
      <c r="AH87" s="15">
        <f t="shared" si="20"/>
        <v>3008.8800934032115</v>
      </c>
      <c r="AI87" s="17">
        <f t="shared" si="21"/>
        <v>5.5292983632505344</v>
      </c>
    </row>
    <row r="88" spans="4:35" ht="15.75" x14ac:dyDescent="0.25">
      <c r="D88" s="11" t="s">
        <v>65</v>
      </c>
      <c r="E88" s="14">
        <v>5428315</v>
      </c>
      <c r="F88" s="14">
        <v>2001191</v>
      </c>
      <c r="G88" s="14">
        <v>-319807</v>
      </c>
      <c r="H88" s="14">
        <v>732</v>
      </c>
      <c r="I88" s="14">
        <v>0</v>
      </c>
      <c r="J88" s="6">
        <f t="shared" si="11"/>
        <v>3746199</v>
      </c>
      <c r="K88" s="15">
        <f t="shared" si="12"/>
        <v>4059680.9323200001</v>
      </c>
      <c r="L88" s="18">
        <v>73805</v>
      </c>
      <c r="M88" s="15">
        <f t="shared" si="13"/>
        <v>55005.500065307235</v>
      </c>
      <c r="N88" s="18"/>
      <c r="O88" s="14">
        <v>5757469</v>
      </c>
      <c r="P88" s="14">
        <v>2149900</v>
      </c>
      <c r="Q88" s="14">
        <v>-358286</v>
      </c>
      <c r="R88" s="14">
        <v>800</v>
      </c>
      <c r="S88" s="14">
        <v>0</v>
      </c>
      <c r="T88" s="16">
        <f t="shared" si="14"/>
        <v>3965055</v>
      </c>
      <c r="U88" s="6">
        <v>74233</v>
      </c>
      <c r="V88" s="15">
        <f t="shared" si="15"/>
        <v>53413.64352781108</v>
      </c>
      <c r="W88" s="11" t="s">
        <v>65</v>
      </c>
      <c r="X88" s="17">
        <f t="shared" si="16"/>
        <v>-1591.8565374961545</v>
      </c>
      <c r="Y88" s="17">
        <f t="shared" si="17"/>
        <v>-2.3308711669102533</v>
      </c>
      <c r="Z88" s="14">
        <v>6036439</v>
      </c>
      <c r="AA88" s="14">
        <v>2232326</v>
      </c>
      <c r="AB88" s="14">
        <v>-371595</v>
      </c>
      <c r="AC88" s="14">
        <v>878</v>
      </c>
      <c r="AD88" s="14">
        <v>0</v>
      </c>
      <c r="AE88" s="16">
        <f t="shared" si="18"/>
        <v>4174830</v>
      </c>
      <c r="AF88" s="6">
        <v>74093</v>
      </c>
      <c r="AG88" s="16">
        <f t="shared" si="19"/>
        <v>56345.808645890975</v>
      </c>
      <c r="AH88" s="15">
        <f t="shared" si="20"/>
        <v>2932.1651180798945</v>
      </c>
      <c r="AI88" s="17">
        <f t="shared" si="21"/>
        <v>5.2905949602212399</v>
      </c>
    </row>
    <row r="89" spans="4:35" ht="15.75" x14ac:dyDescent="0.25">
      <c r="D89" s="11" t="s">
        <v>94</v>
      </c>
      <c r="E89" s="14">
        <v>3032322</v>
      </c>
      <c r="F89" s="14">
        <v>1106003</v>
      </c>
      <c r="G89" s="14">
        <v>-211020</v>
      </c>
      <c r="H89" s="14">
        <v>0</v>
      </c>
      <c r="I89" s="14">
        <v>0</v>
      </c>
      <c r="J89" s="6">
        <f t="shared" si="11"/>
        <v>2137339</v>
      </c>
      <c r="K89" s="15">
        <f t="shared" si="12"/>
        <v>2316191.52752</v>
      </c>
      <c r="L89" s="18">
        <v>43225</v>
      </c>
      <c r="M89" s="15">
        <f t="shared" si="13"/>
        <v>53584.535049624057</v>
      </c>
      <c r="N89" s="18"/>
      <c r="O89" s="14">
        <v>3213783</v>
      </c>
      <c r="P89" s="14">
        <v>1178279</v>
      </c>
      <c r="Q89" s="14">
        <v>-223505</v>
      </c>
      <c r="R89" s="14">
        <v>0</v>
      </c>
      <c r="S89" s="14">
        <v>0</v>
      </c>
      <c r="T89" s="16">
        <f t="shared" si="14"/>
        <v>2259009</v>
      </c>
      <c r="U89" s="6">
        <v>43320</v>
      </c>
      <c r="V89" s="15">
        <f t="shared" si="15"/>
        <v>52147.022160664819</v>
      </c>
      <c r="W89" s="11" t="s">
        <v>94</v>
      </c>
      <c r="X89" s="17">
        <f t="shared" si="16"/>
        <v>-1437.5128889592379</v>
      </c>
      <c r="Y89" s="17">
        <f t="shared" si="17"/>
        <v>-2.4688168849847481</v>
      </c>
      <c r="Z89" s="14">
        <v>3367151</v>
      </c>
      <c r="AA89" s="14">
        <v>1233566</v>
      </c>
      <c r="AB89" s="14">
        <v>-205348</v>
      </c>
      <c r="AC89" s="14">
        <v>0</v>
      </c>
      <c r="AD89" s="14">
        <v>0</v>
      </c>
      <c r="AE89" s="16">
        <f t="shared" si="18"/>
        <v>2338933</v>
      </c>
      <c r="AF89" s="6">
        <v>42876</v>
      </c>
      <c r="AG89" s="16">
        <f t="shared" si="19"/>
        <v>54551.100848959788</v>
      </c>
      <c r="AH89" s="15">
        <f t="shared" si="20"/>
        <v>2404.0786882949687</v>
      </c>
      <c r="AI89" s="17">
        <f t="shared" si="21"/>
        <v>3.5380115794138023</v>
      </c>
    </row>
    <row r="90" spans="4:35" ht="15.75" x14ac:dyDescent="0.25">
      <c r="D90" s="11" t="s">
        <v>66</v>
      </c>
      <c r="E90" s="14">
        <v>2725662</v>
      </c>
      <c r="F90" s="14">
        <v>963563</v>
      </c>
      <c r="G90" s="14">
        <v>-146480</v>
      </c>
      <c r="H90" s="14">
        <v>0</v>
      </c>
      <c r="I90" s="14">
        <v>0</v>
      </c>
      <c r="J90" s="6">
        <f t="shared" si="11"/>
        <v>1908579</v>
      </c>
      <c r="K90" s="15">
        <f t="shared" si="12"/>
        <v>2068288.89072</v>
      </c>
      <c r="L90" s="18">
        <v>36886</v>
      </c>
      <c r="M90" s="15">
        <f t="shared" si="13"/>
        <v>56072.463555820643</v>
      </c>
      <c r="N90" s="18"/>
      <c r="O90" s="14">
        <v>2898242</v>
      </c>
      <c r="P90" s="14">
        <v>1035422</v>
      </c>
      <c r="Q90" s="14">
        <v>-158476</v>
      </c>
      <c r="R90" s="14">
        <v>0</v>
      </c>
      <c r="S90" s="14">
        <v>0</v>
      </c>
      <c r="T90" s="16">
        <f t="shared" si="14"/>
        <v>2021296</v>
      </c>
      <c r="U90" s="6">
        <v>36741</v>
      </c>
      <c r="V90" s="15">
        <f t="shared" si="15"/>
        <v>55014.724694482997</v>
      </c>
      <c r="W90" s="11" t="s">
        <v>66</v>
      </c>
      <c r="X90" s="17">
        <f t="shared" si="16"/>
        <v>-1057.7388613376461</v>
      </c>
      <c r="Y90" s="17">
        <f t="shared" si="17"/>
        <v>-2.2720660992208486</v>
      </c>
      <c r="Z90" s="14">
        <v>3045456</v>
      </c>
      <c r="AA90" s="14">
        <v>1067758</v>
      </c>
      <c r="AB90" s="14">
        <v>-163939</v>
      </c>
      <c r="AC90" s="14">
        <v>0</v>
      </c>
      <c r="AD90" s="14">
        <v>0</v>
      </c>
      <c r="AE90" s="16">
        <f t="shared" si="18"/>
        <v>2141637</v>
      </c>
      <c r="AF90" s="6">
        <v>36499</v>
      </c>
      <c r="AG90" s="16">
        <f t="shared" si="19"/>
        <v>58676.593879284359</v>
      </c>
      <c r="AH90" s="15">
        <f t="shared" si="20"/>
        <v>3661.8691848013623</v>
      </c>
      <c r="AI90" s="17">
        <f t="shared" si="21"/>
        <v>5.9536554764863636</v>
      </c>
    </row>
    <row r="91" spans="4:35" ht="15.75" x14ac:dyDescent="0.25">
      <c r="D91" s="11" t="s">
        <v>22</v>
      </c>
      <c r="E91" s="14">
        <v>2954942</v>
      </c>
      <c r="F91" s="14">
        <v>925970</v>
      </c>
      <c r="G91" s="14">
        <v>-175394</v>
      </c>
      <c r="H91" s="14">
        <v>0</v>
      </c>
      <c r="I91" s="14">
        <v>11</v>
      </c>
      <c r="J91" s="6">
        <f t="shared" si="11"/>
        <v>2204355</v>
      </c>
      <c r="K91" s="15">
        <f t="shared" si="12"/>
        <v>2388815.4264000002</v>
      </c>
      <c r="L91" s="18">
        <v>42896</v>
      </c>
      <c r="M91" s="15">
        <f t="shared" si="13"/>
        <v>55688.535676986205</v>
      </c>
      <c r="N91" s="18"/>
      <c r="O91" s="14">
        <v>3159260</v>
      </c>
      <c r="P91" s="14">
        <v>999662</v>
      </c>
      <c r="Q91" s="14">
        <v>-182379</v>
      </c>
      <c r="R91" s="14">
        <v>0</v>
      </c>
      <c r="S91" s="14">
        <v>8</v>
      </c>
      <c r="T91" s="16">
        <f t="shared" si="14"/>
        <v>2341969</v>
      </c>
      <c r="U91" s="6">
        <v>43076</v>
      </c>
      <c r="V91" s="15">
        <f t="shared" si="15"/>
        <v>54368.302535054325</v>
      </c>
      <c r="W91" s="11" t="s">
        <v>22</v>
      </c>
      <c r="X91" s="17">
        <f t="shared" si="16"/>
        <v>-1320.2331419318798</v>
      </c>
      <c r="Y91" s="17">
        <f t="shared" si="17"/>
        <v>-1.9610735045611616</v>
      </c>
      <c r="Z91" s="14">
        <v>3342943</v>
      </c>
      <c r="AA91" s="14">
        <v>1050729</v>
      </c>
      <c r="AB91" s="14">
        <v>-189091</v>
      </c>
      <c r="AC91" s="14">
        <v>0</v>
      </c>
      <c r="AD91" s="14">
        <v>11</v>
      </c>
      <c r="AE91" s="16">
        <f t="shared" si="18"/>
        <v>2481294</v>
      </c>
      <c r="AF91" s="6">
        <v>44038</v>
      </c>
      <c r="AG91" s="16">
        <f t="shared" si="19"/>
        <v>56344.384395294976</v>
      </c>
      <c r="AH91" s="15">
        <f t="shared" si="20"/>
        <v>1976.0818602406507</v>
      </c>
      <c r="AI91" s="17">
        <f t="shared" si="21"/>
        <v>5.9490539797922182</v>
      </c>
    </row>
    <row r="92" spans="4:35" ht="15.75" x14ac:dyDescent="0.25">
      <c r="D92" s="11" t="s">
        <v>23</v>
      </c>
      <c r="E92" s="14">
        <v>1096285</v>
      </c>
      <c r="F92" s="14">
        <v>259475</v>
      </c>
      <c r="G92" s="14">
        <v>-51377</v>
      </c>
      <c r="H92" s="14">
        <v>0</v>
      </c>
      <c r="I92" s="14">
        <v>0</v>
      </c>
      <c r="J92" s="6">
        <f t="shared" si="11"/>
        <v>888187</v>
      </c>
      <c r="K92" s="15">
        <f t="shared" si="12"/>
        <v>962510.48816000007</v>
      </c>
      <c r="L92" s="18">
        <v>16622</v>
      </c>
      <c r="M92" s="15">
        <f t="shared" si="13"/>
        <v>57905.816878835285</v>
      </c>
      <c r="N92" s="18"/>
      <c r="O92" s="14">
        <v>1198617</v>
      </c>
      <c r="P92" s="14">
        <v>281999</v>
      </c>
      <c r="Q92" s="14">
        <v>-58892</v>
      </c>
      <c r="R92" s="14">
        <v>0</v>
      </c>
      <c r="S92" s="14">
        <v>0</v>
      </c>
      <c r="T92" s="16">
        <f t="shared" si="14"/>
        <v>975510</v>
      </c>
      <c r="U92" s="6">
        <v>17074</v>
      </c>
      <c r="V92" s="15">
        <f t="shared" si="15"/>
        <v>57134.239194096292</v>
      </c>
      <c r="W92" s="11" t="s">
        <v>23</v>
      </c>
      <c r="X92" s="17">
        <f t="shared" si="16"/>
        <v>-771.57768473899341</v>
      </c>
      <c r="Y92" s="17">
        <f t="shared" si="17"/>
        <v>1.3505839156984889</v>
      </c>
      <c r="Z92" s="14">
        <v>1296126</v>
      </c>
      <c r="AA92" s="14">
        <v>325515</v>
      </c>
      <c r="AB92" s="14">
        <v>-66801</v>
      </c>
      <c r="AC92" s="14">
        <v>0</v>
      </c>
      <c r="AD92" s="14">
        <v>0</v>
      </c>
      <c r="AE92" s="16">
        <f t="shared" si="18"/>
        <v>1037412</v>
      </c>
      <c r="AF92" s="6">
        <v>17896</v>
      </c>
      <c r="AG92" s="16">
        <f t="shared" si="19"/>
        <v>57968.931604827892</v>
      </c>
      <c r="AH92" s="15">
        <f t="shared" si="20"/>
        <v>834.69241073160083</v>
      </c>
      <c r="AI92" s="17">
        <f t="shared" si="21"/>
        <v>6.3456038379924307</v>
      </c>
    </row>
    <row r="93" spans="4:35" ht="15.75" x14ac:dyDescent="0.25">
      <c r="D93" s="11" t="s">
        <v>69</v>
      </c>
      <c r="E93" s="14">
        <v>3376848</v>
      </c>
      <c r="F93" s="14">
        <v>1193789</v>
      </c>
      <c r="G93" s="14">
        <v>-217055</v>
      </c>
      <c r="H93" s="14">
        <v>0</v>
      </c>
      <c r="I93" s="14">
        <v>0</v>
      </c>
      <c r="J93" s="6">
        <f t="shared" si="11"/>
        <v>2400114</v>
      </c>
      <c r="K93" s="15">
        <f t="shared" si="12"/>
        <v>2600955.5395200001</v>
      </c>
      <c r="L93" s="18">
        <v>49789</v>
      </c>
      <c r="M93" s="15">
        <f t="shared" si="13"/>
        <v>52239.561740946796</v>
      </c>
      <c r="N93" s="18"/>
      <c r="O93" s="14">
        <v>3586144</v>
      </c>
      <c r="P93" s="14">
        <v>1276566</v>
      </c>
      <c r="Q93" s="14">
        <v>-216472</v>
      </c>
      <c r="R93" s="14">
        <v>0</v>
      </c>
      <c r="S93" s="14">
        <v>0</v>
      </c>
      <c r="T93" s="16">
        <f t="shared" si="14"/>
        <v>2526050</v>
      </c>
      <c r="U93" s="6">
        <v>49933</v>
      </c>
      <c r="V93" s="15">
        <f t="shared" si="15"/>
        <v>50588.788977229488</v>
      </c>
      <c r="W93" s="11" t="s">
        <v>69</v>
      </c>
      <c r="X93" s="17">
        <f t="shared" si="16"/>
        <v>-1650.7727637173084</v>
      </c>
      <c r="Y93" s="17">
        <f t="shared" si="17"/>
        <v>-2.8799238734324439</v>
      </c>
      <c r="Z93" s="14">
        <v>3838104</v>
      </c>
      <c r="AA93" s="14">
        <v>1353552</v>
      </c>
      <c r="AB93" s="14">
        <v>-239345</v>
      </c>
      <c r="AC93" s="14">
        <v>0</v>
      </c>
      <c r="AD93" s="14">
        <v>0</v>
      </c>
      <c r="AE93" s="16">
        <f t="shared" si="18"/>
        <v>2723897</v>
      </c>
      <c r="AF93" s="6">
        <v>49703</v>
      </c>
      <c r="AG93" s="16">
        <f t="shared" si="19"/>
        <v>54803.472627406794</v>
      </c>
      <c r="AH93" s="15">
        <f t="shared" si="20"/>
        <v>4214.6836501773068</v>
      </c>
      <c r="AI93" s="17">
        <f t="shared" si="21"/>
        <v>7.8322677698382748</v>
      </c>
    </row>
    <row r="94" spans="4:35" ht="15.75" x14ac:dyDescent="0.25">
      <c r="D94" s="11" t="s">
        <v>70</v>
      </c>
      <c r="E94" s="14">
        <v>2904965</v>
      </c>
      <c r="F94" s="14">
        <v>1022790</v>
      </c>
      <c r="G94" s="14">
        <v>-197479</v>
      </c>
      <c r="H94" s="14">
        <v>0</v>
      </c>
      <c r="I94" s="14">
        <v>0</v>
      </c>
      <c r="J94" s="6">
        <f t="shared" si="11"/>
        <v>2079654</v>
      </c>
      <c r="K94" s="15">
        <f t="shared" si="12"/>
        <v>2253679.4467199999</v>
      </c>
      <c r="L94" s="18">
        <v>42780</v>
      </c>
      <c r="M94" s="15">
        <f t="shared" si="13"/>
        <v>52680.678978962125</v>
      </c>
      <c r="N94" s="18"/>
      <c r="O94" s="14">
        <v>3090620</v>
      </c>
      <c r="P94" s="14">
        <v>1084822</v>
      </c>
      <c r="Q94" s="14">
        <v>-208164</v>
      </c>
      <c r="R94" s="14">
        <v>0</v>
      </c>
      <c r="S94" s="14">
        <v>0</v>
      </c>
      <c r="T94" s="16">
        <f t="shared" si="14"/>
        <v>2213962</v>
      </c>
      <c r="U94" s="6">
        <v>42907</v>
      </c>
      <c r="V94" s="15">
        <f t="shared" si="15"/>
        <v>51599.086396159139</v>
      </c>
      <c r="W94" s="11" t="s">
        <v>70</v>
      </c>
      <c r="X94" s="17">
        <f t="shared" si="16"/>
        <v>-1081.5925828029867</v>
      </c>
      <c r="Y94" s="17">
        <f t="shared" si="17"/>
        <v>-1.7623378860647021</v>
      </c>
      <c r="Z94" s="14">
        <v>3277476</v>
      </c>
      <c r="AA94" s="14">
        <v>1165219</v>
      </c>
      <c r="AB94" s="14">
        <v>-212051</v>
      </c>
      <c r="AC94" s="14">
        <v>0</v>
      </c>
      <c r="AD94" s="14">
        <v>0</v>
      </c>
      <c r="AE94" s="16">
        <f t="shared" si="18"/>
        <v>2324308</v>
      </c>
      <c r="AF94" s="6">
        <v>42761</v>
      </c>
      <c r="AG94" s="16">
        <f t="shared" si="19"/>
        <v>54355.791492247612</v>
      </c>
      <c r="AH94" s="15">
        <f t="shared" si="20"/>
        <v>2756.7050960884735</v>
      </c>
      <c r="AI94" s="17">
        <f t="shared" si="21"/>
        <v>4.9840963846714548</v>
      </c>
    </row>
    <row r="95" spans="4:35" ht="15.75" x14ac:dyDescent="0.25">
      <c r="D95" s="11" t="s">
        <v>75</v>
      </c>
      <c r="E95" s="14">
        <v>7319380</v>
      </c>
      <c r="F95" s="14">
        <v>2637466</v>
      </c>
      <c r="G95" s="14">
        <v>-438333</v>
      </c>
      <c r="H95" s="14">
        <v>90</v>
      </c>
      <c r="I95" s="14">
        <v>0</v>
      </c>
      <c r="J95" s="6">
        <f t="shared" si="11"/>
        <v>5120157</v>
      </c>
      <c r="K95" s="15">
        <f t="shared" si="12"/>
        <v>5548611.7377600009</v>
      </c>
      <c r="L95" s="18">
        <v>120677</v>
      </c>
      <c r="M95" s="15">
        <f t="shared" si="13"/>
        <v>45979.032771447753</v>
      </c>
      <c r="N95" s="18"/>
      <c r="O95" s="14">
        <v>7940012</v>
      </c>
      <c r="P95" s="14">
        <v>2902231</v>
      </c>
      <c r="Q95" s="14">
        <v>-470085</v>
      </c>
      <c r="R95" s="14">
        <v>93</v>
      </c>
      <c r="S95" s="14">
        <v>0</v>
      </c>
      <c r="T95" s="16">
        <f t="shared" si="14"/>
        <v>5507773</v>
      </c>
      <c r="U95" s="6">
        <v>122233</v>
      </c>
      <c r="V95" s="15">
        <f t="shared" si="15"/>
        <v>45059.62383317107</v>
      </c>
      <c r="W95" s="11" t="s">
        <v>75</v>
      </c>
      <c r="X95" s="17">
        <f t="shared" si="16"/>
        <v>-919.40893827668333</v>
      </c>
      <c r="Y95" s="17">
        <f t="shared" si="17"/>
        <v>-0.73601721818236099</v>
      </c>
      <c r="Z95" s="14">
        <v>8465661</v>
      </c>
      <c r="AA95" s="14">
        <v>3071904</v>
      </c>
      <c r="AB95" s="14">
        <v>-484830</v>
      </c>
      <c r="AC95" s="14">
        <v>109</v>
      </c>
      <c r="AD95" s="14">
        <v>0</v>
      </c>
      <c r="AE95" s="16">
        <f t="shared" si="18"/>
        <v>5878478</v>
      </c>
      <c r="AF95" s="6">
        <v>122850</v>
      </c>
      <c r="AG95" s="16">
        <f t="shared" si="19"/>
        <v>47850.858770858773</v>
      </c>
      <c r="AH95" s="15">
        <f t="shared" si="20"/>
        <v>2791.2349376877028</v>
      </c>
      <c r="AI95" s="17">
        <f t="shared" si="21"/>
        <v>6.7305787656826155</v>
      </c>
    </row>
    <row r="96" spans="4:35" ht="15.75" x14ac:dyDescent="0.25">
      <c r="D96" s="11" t="s">
        <v>98</v>
      </c>
      <c r="E96" s="14">
        <v>2659760</v>
      </c>
      <c r="F96" s="14">
        <v>931227</v>
      </c>
      <c r="G96" s="14">
        <v>-182543</v>
      </c>
      <c r="H96" s="14">
        <v>0</v>
      </c>
      <c r="I96" s="14">
        <v>0</v>
      </c>
      <c r="J96" s="6">
        <f t="shared" si="11"/>
        <v>1911076</v>
      </c>
      <c r="K96" s="15">
        <f t="shared" si="12"/>
        <v>2070994.8396800002</v>
      </c>
      <c r="L96" s="18">
        <v>36357</v>
      </c>
      <c r="M96" s="15">
        <f t="shared" si="13"/>
        <v>56962.75379376737</v>
      </c>
      <c r="N96" s="18"/>
      <c r="O96" s="14">
        <v>2857426</v>
      </c>
      <c r="P96" s="14">
        <v>1019744</v>
      </c>
      <c r="Q96" s="14">
        <v>-199149</v>
      </c>
      <c r="R96" s="14">
        <v>0</v>
      </c>
      <c r="S96" s="14">
        <v>0</v>
      </c>
      <c r="T96" s="16">
        <f t="shared" si="14"/>
        <v>2036831</v>
      </c>
      <c r="U96" s="6">
        <v>36262</v>
      </c>
      <c r="V96" s="15">
        <f t="shared" si="15"/>
        <v>56169.847222988254</v>
      </c>
      <c r="W96" s="11" t="s">
        <v>98</v>
      </c>
      <c r="X96" s="17">
        <f t="shared" si="16"/>
        <v>-792.90657077911601</v>
      </c>
      <c r="Y96" s="17">
        <f t="shared" si="17"/>
        <v>-1.6496342253213503</v>
      </c>
      <c r="Z96" s="14">
        <v>3031802</v>
      </c>
      <c r="AA96" s="14">
        <v>1066499</v>
      </c>
      <c r="AB96" s="14">
        <v>-191559</v>
      </c>
      <c r="AC96" s="14">
        <v>0</v>
      </c>
      <c r="AD96" s="14">
        <v>0</v>
      </c>
      <c r="AE96" s="16">
        <f t="shared" si="18"/>
        <v>2156862</v>
      </c>
      <c r="AF96" s="6">
        <v>35842</v>
      </c>
      <c r="AG96" s="16">
        <f t="shared" si="19"/>
        <v>60176.943250934659</v>
      </c>
      <c r="AH96" s="15">
        <f t="shared" si="20"/>
        <v>4007.0960279464052</v>
      </c>
      <c r="AI96" s="17">
        <f t="shared" si="21"/>
        <v>5.8930269619816178</v>
      </c>
    </row>
    <row r="97" spans="1:35" ht="15.75" x14ac:dyDescent="0.25">
      <c r="D97" s="11" t="s">
        <v>95</v>
      </c>
      <c r="E97" s="14">
        <v>6426975</v>
      </c>
      <c r="F97" s="14">
        <v>2434975</v>
      </c>
      <c r="G97" s="14">
        <v>-412603</v>
      </c>
      <c r="H97" s="14">
        <v>0</v>
      </c>
      <c r="I97" s="14">
        <v>0</v>
      </c>
      <c r="J97" s="6">
        <f t="shared" si="11"/>
        <v>4404603</v>
      </c>
      <c r="K97" s="15">
        <f t="shared" si="12"/>
        <v>4773180.1790400008</v>
      </c>
      <c r="L97" s="18">
        <v>97368</v>
      </c>
      <c r="M97" s="15">
        <f t="shared" si="13"/>
        <v>49022.062474735038</v>
      </c>
      <c r="N97" s="18"/>
      <c r="O97" s="14">
        <v>6864031</v>
      </c>
      <c r="P97" s="14">
        <v>2619479</v>
      </c>
      <c r="Q97" s="14">
        <v>-416716</v>
      </c>
      <c r="R97" s="14">
        <v>0</v>
      </c>
      <c r="S97" s="14">
        <v>0</v>
      </c>
      <c r="T97" s="16">
        <f t="shared" si="14"/>
        <v>4661268</v>
      </c>
      <c r="U97" s="6">
        <v>97769</v>
      </c>
      <c r="V97" s="15">
        <f t="shared" si="15"/>
        <v>47676.339125898798</v>
      </c>
      <c r="W97" s="11" t="s">
        <v>95</v>
      </c>
      <c r="X97" s="17">
        <f t="shared" si="16"/>
        <v>-1345.7233488362399</v>
      </c>
      <c r="Y97" s="17">
        <f t="shared" si="17"/>
        <v>-2.3446041180559152</v>
      </c>
      <c r="Z97" s="14">
        <v>7273863</v>
      </c>
      <c r="AA97" s="14">
        <v>2783535</v>
      </c>
      <c r="AB97" s="14">
        <v>-455461</v>
      </c>
      <c r="AC97" s="14">
        <v>0</v>
      </c>
      <c r="AD97" s="14">
        <v>0</v>
      </c>
      <c r="AE97" s="16">
        <f t="shared" si="18"/>
        <v>4945789</v>
      </c>
      <c r="AF97" s="6">
        <v>97440</v>
      </c>
      <c r="AG97" s="16">
        <f t="shared" si="19"/>
        <v>50757.276272577998</v>
      </c>
      <c r="AH97" s="15">
        <f t="shared" si="20"/>
        <v>3080.9371466791999</v>
      </c>
      <c r="AI97" s="17">
        <f t="shared" si="21"/>
        <v>6.1039399579685183</v>
      </c>
    </row>
    <row r="98" spans="1:35" ht="15.75" x14ac:dyDescent="0.25">
      <c r="D98" s="11" t="s">
        <v>51</v>
      </c>
      <c r="E98" s="14">
        <v>3325265</v>
      </c>
      <c r="F98" s="14">
        <v>1246452</v>
      </c>
      <c r="G98" s="14">
        <v>-224411</v>
      </c>
      <c r="H98" s="14">
        <v>0</v>
      </c>
      <c r="I98" s="14">
        <v>111</v>
      </c>
      <c r="J98" s="6">
        <f t="shared" si="11"/>
        <v>2303113</v>
      </c>
      <c r="K98" s="15">
        <f t="shared" si="12"/>
        <v>2495837.4958400005</v>
      </c>
      <c r="L98" s="18">
        <v>45480</v>
      </c>
      <c r="M98" s="15">
        <f t="shared" si="13"/>
        <v>54877.693400175915</v>
      </c>
      <c r="N98" s="18"/>
      <c r="O98" s="14">
        <v>3517345</v>
      </c>
      <c r="P98" s="14">
        <v>1345364</v>
      </c>
      <c r="Q98" s="14">
        <v>-238199</v>
      </c>
      <c r="R98" s="14">
        <v>0</v>
      </c>
      <c r="S98" s="14">
        <v>116</v>
      </c>
      <c r="T98" s="16">
        <f t="shared" si="14"/>
        <v>2410064</v>
      </c>
      <c r="U98" s="6">
        <v>45375</v>
      </c>
      <c r="V98" s="15">
        <f t="shared" si="15"/>
        <v>53114.35812672176</v>
      </c>
      <c r="W98" s="11" t="s">
        <v>51</v>
      </c>
      <c r="X98" s="17">
        <f t="shared" si="16"/>
        <v>-1763.335273454155</v>
      </c>
      <c r="Y98" s="17">
        <f t="shared" si="17"/>
        <v>-3.4366618813510774</v>
      </c>
      <c r="Z98" s="14">
        <v>3716440</v>
      </c>
      <c r="AA98" s="14">
        <v>1418113</v>
      </c>
      <c r="AB98" s="14">
        <v>-245743</v>
      </c>
      <c r="AC98" s="14">
        <v>0</v>
      </c>
      <c r="AD98" s="14">
        <v>121</v>
      </c>
      <c r="AE98" s="16">
        <f t="shared" si="18"/>
        <v>2543949</v>
      </c>
      <c r="AF98" s="6">
        <v>45735</v>
      </c>
      <c r="AG98" s="16">
        <f t="shared" si="19"/>
        <v>55623.679895047557</v>
      </c>
      <c r="AH98" s="15">
        <f t="shared" si="20"/>
        <v>2509.3217683257972</v>
      </c>
      <c r="AI98" s="17">
        <f t="shared" si="21"/>
        <v>5.5552466656487054</v>
      </c>
    </row>
    <row r="99" spans="1:35" ht="15.75" x14ac:dyDescent="0.25">
      <c r="D99" s="11" t="s">
        <v>62</v>
      </c>
      <c r="E99" s="14">
        <v>510831</v>
      </c>
      <c r="F99" s="14">
        <v>148160</v>
      </c>
      <c r="G99" s="14">
        <v>-27448</v>
      </c>
      <c r="H99" s="14">
        <v>0</v>
      </c>
      <c r="I99" s="14">
        <v>0</v>
      </c>
      <c r="J99" s="6">
        <f t="shared" si="11"/>
        <v>390119</v>
      </c>
      <c r="K99" s="15">
        <f t="shared" si="12"/>
        <v>422764.15792000003</v>
      </c>
      <c r="L99" s="18">
        <v>6036</v>
      </c>
      <c r="M99" s="15">
        <f t="shared" si="13"/>
        <v>70040.450284956925</v>
      </c>
      <c r="N99" s="18"/>
      <c r="O99" s="14">
        <v>526954</v>
      </c>
      <c r="P99" s="14">
        <v>155416</v>
      </c>
      <c r="Q99" s="14">
        <v>-26687</v>
      </c>
      <c r="R99" s="14">
        <v>0</v>
      </c>
      <c r="S99" s="14">
        <v>0</v>
      </c>
      <c r="T99" s="16">
        <f t="shared" si="14"/>
        <v>398225</v>
      </c>
      <c r="U99" s="6">
        <v>6016</v>
      </c>
      <c r="V99" s="15">
        <f t="shared" si="15"/>
        <v>66194.315159574471</v>
      </c>
      <c r="W99" s="11" t="s">
        <v>62</v>
      </c>
      <c r="X99" s="17">
        <f t="shared" si="16"/>
        <v>-3846.1351253824541</v>
      </c>
      <c r="Y99" s="17">
        <f t="shared" si="17"/>
        <v>-5.8044556191169772</v>
      </c>
      <c r="Z99" s="14">
        <v>547144</v>
      </c>
      <c r="AA99" s="14">
        <v>157880</v>
      </c>
      <c r="AB99" s="14">
        <v>-26022</v>
      </c>
      <c r="AC99" s="14">
        <v>0</v>
      </c>
      <c r="AD99" s="14">
        <v>0</v>
      </c>
      <c r="AE99" s="16">
        <f t="shared" si="18"/>
        <v>415286</v>
      </c>
      <c r="AF99" s="6">
        <v>5962</v>
      </c>
      <c r="AG99" s="16">
        <f t="shared" si="19"/>
        <v>69655.484736665545</v>
      </c>
      <c r="AH99" s="15">
        <f t="shared" si="20"/>
        <v>3461.1695770910737</v>
      </c>
      <c r="AI99" s="17">
        <f t="shared" si="21"/>
        <v>4.2842614100069065</v>
      </c>
    </row>
    <row r="100" spans="1:35" ht="15.75" x14ac:dyDescent="0.25">
      <c r="D100" s="11" t="s">
        <v>71</v>
      </c>
      <c r="E100" s="14">
        <v>4169261</v>
      </c>
      <c r="F100" s="14">
        <v>1472278</v>
      </c>
      <c r="G100" s="14">
        <v>-276459</v>
      </c>
      <c r="H100" s="14">
        <v>0</v>
      </c>
      <c r="I100" s="14">
        <v>0</v>
      </c>
      <c r="J100" s="6">
        <f t="shared" si="11"/>
        <v>2973442</v>
      </c>
      <c r="K100" s="15">
        <f t="shared" si="12"/>
        <v>3222259.6265600002</v>
      </c>
      <c r="L100" s="18">
        <v>58907</v>
      </c>
      <c r="M100" s="15">
        <f t="shared" si="13"/>
        <v>54700.793225932408</v>
      </c>
      <c r="N100" s="18"/>
      <c r="O100" s="14">
        <v>4469375</v>
      </c>
      <c r="P100" s="14">
        <v>1581662</v>
      </c>
      <c r="Q100" s="14">
        <v>-277278</v>
      </c>
      <c r="R100" s="14">
        <v>0</v>
      </c>
      <c r="S100" s="14">
        <v>0</v>
      </c>
      <c r="T100" s="16">
        <f t="shared" si="14"/>
        <v>3164991</v>
      </c>
      <c r="U100" s="6">
        <v>58944</v>
      </c>
      <c r="V100" s="15">
        <f t="shared" si="15"/>
        <v>53694.87988599349</v>
      </c>
      <c r="W100" s="11" t="s">
        <v>71</v>
      </c>
      <c r="X100" s="17">
        <f t="shared" si="16"/>
        <v>-1005.9133399389175</v>
      </c>
      <c r="Y100" s="17">
        <f t="shared" si="17"/>
        <v>-1.7772815724702684</v>
      </c>
      <c r="Z100" s="14">
        <v>4704333</v>
      </c>
      <c r="AA100" s="14">
        <v>1637896</v>
      </c>
      <c r="AB100" s="14">
        <v>-276541</v>
      </c>
      <c r="AC100" s="14">
        <v>0</v>
      </c>
      <c r="AD100" s="14">
        <v>0</v>
      </c>
      <c r="AE100" s="16">
        <f t="shared" si="18"/>
        <v>3342978</v>
      </c>
      <c r="AF100" s="6">
        <v>58531</v>
      </c>
      <c r="AG100" s="16">
        <f t="shared" si="19"/>
        <v>57114.657190206897</v>
      </c>
      <c r="AH100" s="15">
        <f t="shared" si="20"/>
        <v>3419.7773042134068</v>
      </c>
      <c r="AI100" s="17">
        <f t="shared" si="21"/>
        <v>5.623617887065091</v>
      </c>
    </row>
    <row r="101" spans="1:35" ht="15.75" x14ac:dyDescent="0.25">
      <c r="D101" s="11" t="s">
        <v>103</v>
      </c>
      <c r="E101" s="14">
        <v>14309478</v>
      </c>
      <c r="F101" s="14">
        <v>5020662</v>
      </c>
      <c r="G101" s="14">
        <v>-857953</v>
      </c>
      <c r="H101" s="14">
        <v>2000</v>
      </c>
      <c r="I101" s="14">
        <v>5515</v>
      </c>
      <c r="J101" s="6">
        <f t="shared" si="11"/>
        <v>10139254</v>
      </c>
      <c r="K101" s="15">
        <f t="shared" si="12"/>
        <v>10987706.77472</v>
      </c>
      <c r="L101" s="18">
        <v>223795</v>
      </c>
      <c r="M101" s="15">
        <f t="shared" si="13"/>
        <v>49097.19508800465</v>
      </c>
      <c r="N101" s="18"/>
      <c r="O101" s="14">
        <v>15403492</v>
      </c>
      <c r="P101" s="14">
        <v>5608586</v>
      </c>
      <c r="Q101" s="14">
        <v>-958806</v>
      </c>
      <c r="R101" s="14">
        <v>0</v>
      </c>
      <c r="S101" s="14">
        <v>5515</v>
      </c>
      <c r="T101" s="16">
        <f t="shared" si="14"/>
        <v>10748197</v>
      </c>
      <c r="U101" s="6">
        <v>224167</v>
      </c>
      <c r="V101" s="15">
        <f t="shared" si="15"/>
        <v>47947.275914831349</v>
      </c>
      <c r="W101" s="11" t="s">
        <v>103</v>
      </c>
      <c r="X101" s="17">
        <f t="shared" si="16"/>
        <v>-1149.9191731733008</v>
      </c>
      <c r="Y101" s="17">
        <f t="shared" si="17"/>
        <v>-2.179797655968152</v>
      </c>
      <c r="Z101" s="14">
        <v>16204026</v>
      </c>
      <c r="AA101" s="14">
        <v>5912604</v>
      </c>
      <c r="AB101" s="14">
        <v>-981477</v>
      </c>
      <c r="AC101" s="14">
        <v>0</v>
      </c>
      <c r="AD101" s="14">
        <v>4750</v>
      </c>
      <c r="AE101" s="16">
        <f t="shared" si="18"/>
        <v>11268149</v>
      </c>
      <c r="AF101" s="6">
        <v>224619</v>
      </c>
      <c r="AG101" s="16">
        <f t="shared" si="19"/>
        <v>50165.609320671894</v>
      </c>
      <c r="AH101" s="15">
        <f t="shared" si="20"/>
        <v>2218.3334058405453</v>
      </c>
      <c r="AI101" s="17">
        <f t="shared" si="21"/>
        <v>4.837574153134705</v>
      </c>
    </row>
    <row r="102" spans="1:35" ht="15.75" x14ac:dyDescent="0.25">
      <c r="D102" s="11" t="s">
        <v>88</v>
      </c>
      <c r="E102" s="14">
        <v>22619973</v>
      </c>
      <c r="F102" s="14">
        <v>8178470</v>
      </c>
      <c r="G102" s="14">
        <v>-1360255</v>
      </c>
      <c r="H102" s="14">
        <v>12781</v>
      </c>
      <c r="I102" s="14">
        <v>0</v>
      </c>
      <c r="J102" s="6">
        <f t="shared" si="11"/>
        <v>15788977</v>
      </c>
      <c r="K102" s="15">
        <f t="shared" si="12"/>
        <v>17110198.59536</v>
      </c>
      <c r="L102" s="18">
        <v>360011</v>
      </c>
      <c r="M102" s="15">
        <f t="shared" si="13"/>
        <v>47526.877221418232</v>
      </c>
      <c r="N102" s="18"/>
      <c r="O102" s="14">
        <v>24170475</v>
      </c>
      <c r="P102" s="14">
        <v>8896216</v>
      </c>
      <c r="Q102" s="14">
        <v>-1605955</v>
      </c>
      <c r="R102" s="14">
        <v>12215</v>
      </c>
      <c r="S102" s="14">
        <v>0</v>
      </c>
      <c r="T102" s="16">
        <f t="shared" si="14"/>
        <v>16867999</v>
      </c>
      <c r="U102" s="6">
        <v>364871</v>
      </c>
      <c r="V102" s="15">
        <f t="shared" si="15"/>
        <v>46230.034724601297</v>
      </c>
      <c r="W102" s="11" t="s">
        <v>88</v>
      </c>
      <c r="X102" s="17">
        <f t="shared" si="16"/>
        <v>-1296.8424968169347</v>
      </c>
      <c r="Y102" s="17">
        <f t="shared" si="17"/>
        <v>-1.4155276691275809</v>
      </c>
      <c r="Z102" s="14">
        <v>25709456</v>
      </c>
      <c r="AA102" s="14">
        <v>9388671</v>
      </c>
      <c r="AB102" s="14">
        <v>-1717942</v>
      </c>
      <c r="AC102" s="14">
        <v>12675</v>
      </c>
      <c r="AD102" s="14">
        <v>0</v>
      </c>
      <c r="AE102" s="16">
        <f t="shared" si="18"/>
        <v>18026052</v>
      </c>
      <c r="AF102" s="6">
        <v>370598</v>
      </c>
      <c r="AG102" s="16">
        <f t="shared" si="19"/>
        <v>48640.445981899524</v>
      </c>
      <c r="AH102" s="15">
        <f t="shared" si="20"/>
        <v>2410.4112572982267</v>
      </c>
      <c r="AI102" s="17">
        <f t="shared" si="21"/>
        <v>6.8653845663614321</v>
      </c>
    </row>
    <row r="104" spans="1:35" ht="105" x14ac:dyDescent="0.25">
      <c r="A104" s="19" t="s">
        <v>133</v>
      </c>
    </row>
    <row r="105" spans="1:35" x14ac:dyDescent="0.25">
      <c r="W105" s="11" t="s">
        <v>134</v>
      </c>
      <c r="X105" s="6">
        <f>COUNTIF(X5:X102,"&lt;0")</f>
        <v>98</v>
      </c>
      <c r="Y105" s="6">
        <f>COUNTIF(Y5:Y102,"&lt;0")</f>
        <v>97</v>
      </c>
    </row>
    <row r="106" spans="1:35" x14ac:dyDescent="0.25">
      <c r="W106" s="11" t="s">
        <v>135</v>
      </c>
      <c r="X106" s="6">
        <f>COUNTIF(X5:X102,"&lt;760")</f>
        <v>98</v>
      </c>
      <c r="Y106" s="6">
        <f>COUNTIF(Y5:Y102,"&lt;2,1")</f>
        <v>98</v>
      </c>
    </row>
  </sheetData>
  <pageMargins left="0.75" right="0.75" top="0.75" bottom="0.5" header="0.5" footer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Overunder_2024-2026</vt:lpstr>
      <vt:lpstr>2024</vt:lpstr>
      <vt:lpstr>2025</vt:lpstr>
      <vt:lpstr>2026</vt:lpstr>
      <vt:lpstr>2023-2025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Sutton</dc:creator>
  <cp:lastModifiedBy>Kristoffer Sutton</cp:lastModifiedBy>
  <dcterms:created xsi:type="dcterms:W3CDTF">2026-02-04T09:26:03Z</dcterms:created>
  <dcterms:modified xsi:type="dcterms:W3CDTF">2026-09-01T08:20:54Z</dcterms:modified>
</cp:coreProperties>
</file>